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19" activeTab="22"/>
  </bookViews>
  <sheets>
    <sheet name="1 Мая 30" sheetId="1" r:id="rId1"/>
    <sheet name="1 Мая 34" sheetId="2" r:id="rId2"/>
    <sheet name="1 Мая 37" sheetId="3" r:id="rId3"/>
    <sheet name="Лунач.34" sheetId="4" r:id="rId4"/>
    <sheet name="Свердловск.27" sheetId="5" r:id="rId5"/>
    <sheet name="Свердловск.29" sheetId="6" r:id="rId6"/>
    <sheet name="Свердловск.31" sheetId="7" r:id="rId7"/>
    <sheet name="Свердловская 33" sheetId="8" r:id="rId8"/>
    <sheet name="Свердловская 37" sheetId="9" r:id="rId9"/>
    <sheet name="Свердловская 39" sheetId="10" r:id="rId10"/>
    <sheet name="Свердловская 42" sheetId="11" r:id="rId11"/>
    <sheet name=" Свердловская 52" sheetId="12" r:id="rId12"/>
    <sheet name="Коммуны 29" sheetId="13" r:id="rId13"/>
    <sheet name="Коммуны 31" sheetId="14" r:id="rId14"/>
    <sheet name="Ленина 27" sheetId="15" r:id="rId15"/>
    <sheet name="Ленина 25" sheetId="16" r:id="rId16"/>
    <sheet name="Ленина 15" sheetId="17" r:id="rId17"/>
    <sheet name="Ленина 10" sheetId="18" r:id="rId18"/>
    <sheet name="Пролетарская 20" sheetId="19" r:id="rId19"/>
    <sheet name="Строителей 2" sheetId="20" r:id="rId20"/>
    <sheet name="К.Маркса 69" sheetId="21" r:id="rId21"/>
    <sheet name="К.Маркса 71" sheetId="22" r:id="rId22"/>
    <sheet name="М. Горького 5" sheetId="23" r:id="rId23"/>
  </sheets>
  <calcPr calcId="124519"/>
</workbook>
</file>

<file path=xl/calcChain.xml><?xml version="1.0" encoding="utf-8"?>
<calcChain xmlns="http://schemas.openxmlformats.org/spreadsheetml/2006/main">
  <c r="B45" i="9"/>
  <c r="B19" i="5"/>
  <c r="B13" i="19"/>
  <c r="B28" i="14"/>
  <c r="B19" i="23"/>
  <c r="B45"/>
  <c r="B45" i="22"/>
  <c r="B19"/>
  <c r="B19" i="21"/>
  <c r="B45"/>
  <c r="B45" i="20"/>
  <c r="B19"/>
  <c r="B45" i="18"/>
  <c r="B19"/>
  <c r="B45" i="17"/>
  <c r="B19"/>
  <c r="B45" i="15"/>
  <c r="B19"/>
  <c r="B45" i="14"/>
  <c r="B19"/>
  <c r="B45" i="13"/>
  <c r="B19"/>
  <c r="B45" i="12"/>
  <c r="B19"/>
  <c r="B45" i="11"/>
  <c r="B19"/>
  <c r="B19" i="10"/>
  <c r="B45"/>
  <c r="B19" i="9"/>
  <c r="B19" i="8"/>
  <c r="B19" i="2"/>
  <c r="B28" i="3"/>
  <c r="B60" i="2"/>
  <c r="B59" i="10"/>
  <c r="B60" i="14"/>
  <c r="B51" i="10"/>
  <c r="B50"/>
  <c r="B48"/>
  <c r="B37"/>
  <c r="B36"/>
  <c r="B33"/>
  <c r="B29"/>
  <c r="B28"/>
  <c r="B13"/>
  <c r="B37" i="1"/>
  <c r="B49"/>
  <c r="B37" i="23"/>
  <c r="B38"/>
  <c r="C38"/>
  <c r="B36"/>
  <c r="B33"/>
  <c r="B29"/>
  <c r="B28"/>
  <c r="B24"/>
  <c r="C24"/>
  <c r="B13"/>
  <c r="B51"/>
  <c r="B50"/>
  <c r="B48"/>
  <c r="B42"/>
  <c r="C42"/>
  <c r="B34"/>
  <c r="C34"/>
  <c r="B21"/>
  <c r="B17"/>
  <c r="B51" i="22"/>
  <c r="B50"/>
  <c r="B48"/>
  <c r="B37"/>
  <c r="B36"/>
  <c r="B33"/>
  <c r="B34"/>
  <c r="C34"/>
  <c r="B29"/>
  <c r="B28"/>
  <c r="B24"/>
  <c r="C24"/>
  <c r="B21"/>
  <c r="B13"/>
  <c r="B47"/>
  <c r="B42"/>
  <c r="C42"/>
  <c r="B38"/>
  <c r="C38"/>
  <c r="B17"/>
  <c r="B51" i="21"/>
  <c r="B50"/>
  <c r="B48"/>
  <c r="B47"/>
  <c r="B37"/>
  <c r="B36"/>
  <c r="B33"/>
  <c r="B29"/>
  <c r="B29" i="20"/>
  <c r="B28" i="21"/>
  <c r="B24"/>
  <c r="C24"/>
  <c r="B13"/>
  <c r="B42"/>
  <c r="C42"/>
  <c r="B38"/>
  <c r="C38"/>
  <c r="B34"/>
  <c r="C34"/>
  <c r="B21"/>
  <c r="B17"/>
  <c r="B22"/>
  <c r="C22"/>
  <c r="B17" i="20"/>
  <c r="B28"/>
  <c r="B13"/>
  <c r="B51"/>
  <c r="B50"/>
  <c r="B48"/>
  <c r="B47"/>
  <c r="B37"/>
  <c r="B36"/>
  <c r="B33"/>
  <c r="B24"/>
  <c r="C24"/>
  <c r="B42"/>
  <c r="C42"/>
  <c r="B38"/>
  <c r="C38"/>
  <c r="B34"/>
  <c r="C34"/>
  <c r="B21"/>
  <c r="B22"/>
  <c r="C22"/>
  <c r="B11" i="19"/>
  <c r="B17"/>
  <c r="C54" i="1"/>
  <c r="B26"/>
  <c r="B62"/>
  <c r="B28"/>
  <c r="B19"/>
  <c r="B28" i="19"/>
  <c r="B51"/>
  <c r="B50"/>
  <c r="B48"/>
  <c r="B45"/>
  <c r="B37"/>
  <c r="B36"/>
  <c r="B33"/>
  <c r="B29"/>
  <c r="B24"/>
  <c r="C24"/>
  <c r="B19"/>
  <c r="B47"/>
  <c r="B53"/>
  <c r="C53"/>
  <c r="B42"/>
  <c r="C42"/>
  <c r="B38"/>
  <c r="C38"/>
  <c r="B34"/>
  <c r="C34"/>
  <c r="B30"/>
  <c r="B21"/>
  <c r="B22"/>
  <c r="C22"/>
  <c r="B51" i="18"/>
  <c r="B50"/>
  <c r="B48"/>
  <c r="B47"/>
  <c r="B37"/>
  <c r="B36"/>
  <c r="B33"/>
  <c r="B29"/>
  <c r="B28"/>
  <c r="B24"/>
  <c r="C24"/>
  <c r="B17"/>
  <c r="B13"/>
  <c r="B11"/>
  <c r="B17" i="17"/>
  <c r="B42" i="18"/>
  <c r="C42"/>
  <c r="B38"/>
  <c r="C38"/>
  <c r="B34"/>
  <c r="C34"/>
  <c r="B21"/>
  <c r="B14"/>
  <c r="B51" i="17"/>
  <c r="B50"/>
  <c r="B48"/>
  <c r="B37"/>
  <c r="B36"/>
  <c r="B33"/>
  <c r="B29"/>
  <c r="B28"/>
  <c r="B24"/>
  <c r="C24"/>
  <c r="B13"/>
  <c r="B42"/>
  <c r="C42"/>
  <c r="B38"/>
  <c r="C38"/>
  <c r="B34"/>
  <c r="C34"/>
  <c r="B30"/>
  <c r="B28" i="16"/>
  <c r="B13"/>
  <c r="B22" i="23"/>
  <c r="C22"/>
  <c r="B53" i="22"/>
  <c r="C53"/>
  <c r="B14" i="23"/>
  <c r="B15"/>
  <c r="C15"/>
  <c r="B30"/>
  <c r="B31"/>
  <c r="C31"/>
  <c r="B47"/>
  <c r="B53"/>
  <c r="C53"/>
  <c r="B22" i="22"/>
  <c r="C22"/>
  <c r="B14"/>
  <c r="B15"/>
  <c r="C15"/>
  <c r="B30"/>
  <c r="B31"/>
  <c r="C31"/>
  <c r="B53" i="21"/>
  <c r="C53"/>
  <c r="B14"/>
  <c r="B15"/>
  <c r="C15"/>
  <c r="B30"/>
  <c r="B31"/>
  <c r="C31"/>
  <c r="B53" i="20"/>
  <c r="C53"/>
  <c r="B14"/>
  <c r="B15"/>
  <c r="C15"/>
  <c r="B30"/>
  <c r="B31"/>
  <c r="C31"/>
  <c r="B31" i="19"/>
  <c r="C31"/>
  <c r="B14"/>
  <c r="B15"/>
  <c r="B54"/>
  <c r="B53" i="18"/>
  <c r="C53"/>
  <c r="B15"/>
  <c r="C15"/>
  <c r="B22"/>
  <c r="C22"/>
  <c r="B30"/>
  <c r="B31"/>
  <c r="C31"/>
  <c r="B14" i="17"/>
  <c r="B15"/>
  <c r="C15"/>
  <c r="B21"/>
  <c r="B22"/>
  <c r="C22"/>
  <c r="B31"/>
  <c r="C31"/>
  <c r="B47"/>
  <c r="B53"/>
  <c r="C53"/>
  <c r="B51" i="16"/>
  <c r="B50"/>
  <c r="B48"/>
  <c r="B45"/>
  <c r="B37"/>
  <c r="B36"/>
  <c r="B33"/>
  <c r="B29"/>
  <c r="B24"/>
  <c r="C24"/>
  <c r="B19"/>
  <c r="B47"/>
  <c r="B53"/>
  <c r="C53"/>
  <c r="B42"/>
  <c r="C42"/>
  <c r="B38"/>
  <c r="C38"/>
  <c r="B34"/>
  <c r="C34"/>
  <c r="B21"/>
  <c r="B17"/>
  <c r="B14"/>
  <c r="B11"/>
  <c r="C15" i="19"/>
  <c r="B54" i="23"/>
  <c r="B58"/>
  <c r="C54"/>
  <c r="B54" i="22"/>
  <c r="B58"/>
  <c r="C54"/>
  <c r="B54" i="21"/>
  <c r="B58"/>
  <c r="C54"/>
  <c r="B55" i="20"/>
  <c r="B59"/>
  <c r="C55"/>
  <c r="B58" i="19"/>
  <c r="B55" i="18"/>
  <c r="B59"/>
  <c r="C55"/>
  <c r="B55" i="17"/>
  <c r="B59"/>
  <c r="C55"/>
  <c r="B15" i="16"/>
  <c r="C15"/>
  <c r="B22"/>
  <c r="C22"/>
  <c r="B30"/>
  <c r="B31"/>
  <c r="C31"/>
  <c r="B17" i="15"/>
  <c r="B11"/>
  <c r="B51"/>
  <c r="B50"/>
  <c r="B48"/>
  <c r="B37"/>
  <c r="B36"/>
  <c r="B33"/>
  <c r="B29"/>
  <c r="B28"/>
  <c r="B24"/>
  <c r="C24"/>
  <c r="B13"/>
  <c r="B47"/>
  <c r="B53"/>
  <c r="C53"/>
  <c r="B42"/>
  <c r="C42"/>
  <c r="B38"/>
  <c r="C38"/>
  <c r="B34"/>
  <c r="C34"/>
  <c r="B30"/>
  <c r="B21"/>
  <c r="B22"/>
  <c r="C22"/>
  <c r="B14"/>
  <c r="B15"/>
  <c r="C15"/>
  <c r="B17" i="13"/>
  <c r="B11"/>
  <c r="B51"/>
  <c r="B50"/>
  <c r="B48"/>
  <c r="B36"/>
  <c r="B37"/>
  <c r="B33"/>
  <c r="B34"/>
  <c r="C34"/>
  <c r="B29"/>
  <c r="B28"/>
  <c r="B24"/>
  <c r="C24"/>
  <c r="B21"/>
  <c r="B13"/>
  <c r="B42"/>
  <c r="C42"/>
  <c r="B14"/>
  <c r="B51" i="12"/>
  <c r="B50"/>
  <c r="B48"/>
  <c r="B37"/>
  <c r="B36"/>
  <c r="B33"/>
  <c r="B29"/>
  <c r="B28"/>
  <c r="B24"/>
  <c r="C24"/>
  <c r="B13"/>
  <c r="B47"/>
  <c r="B53"/>
  <c r="C53"/>
  <c r="B42"/>
  <c r="C42"/>
  <c r="B38"/>
  <c r="C38"/>
  <c r="B34"/>
  <c r="C34"/>
  <c r="B21"/>
  <c r="B22"/>
  <c r="C22"/>
  <c r="B14"/>
  <c r="B15"/>
  <c r="C15"/>
  <c r="B28" i="11"/>
  <c r="B13"/>
  <c r="B11"/>
  <c r="B17"/>
  <c r="B55" i="16"/>
  <c r="B59"/>
  <c r="C55"/>
  <c r="B31" i="15"/>
  <c r="C31"/>
  <c r="B38" i="13"/>
  <c r="C38"/>
  <c r="B15"/>
  <c r="C15"/>
  <c r="B22"/>
  <c r="C22"/>
  <c r="B30"/>
  <c r="B31"/>
  <c r="C31"/>
  <c r="B47"/>
  <c r="B53"/>
  <c r="C53"/>
  <c r="B30" i="12"/>
  <c r="B31"/>
  <c r="C31"/>
  <c r="B13" i="3"/>
  <c r="B51" i="14"/>
  <c r="B50"/>
  <c r="B48"/>
  <c r="B37"/>
  <c r="B36"/>
  <c r="B33"/>
  <c r="B34"/>
  <c r="C34"/>
  <c r="B29"/>
  <c r="B24"/>
  <c r="C24"/>
  <c r="B21"/>
  <c r="B13"/>
  <c r="B47"/>
  <c r="B53"/>
  <c r="C53"/>
  <c r="B42"/>
  <c r="C42"/>
  <c r="B38"/>
  <c r="C38"/>
  <c r="B30"/>
  <c r="B14"/>
  <c r="B51" i="11"/>
  <c r="B50"/>
  <c r="B48"/>
  <c r="B37"/>
  <c r="B36"/>
  <c r="B33"/>
  <c r="B29"/>
  <c r="B24"/>
  <c r="C24"/>
  <c r="B47"/>
  <c r="B53"/>
  <c r="C53"/>
  <c r="B42"/>
  <c r="C42"/>
  <c r="B38"/>
  <c r="C38"/>
  <c r="B34"/>
  <c r="C34"/>
  <c r="B30"/>
  <c r="B21"/>
  <c r="B22"/>
  <c r="C22"/>
  <c r="B14"/>
  <c r="B11" i="10"/>
  <c r="B17"/>
  <c r="B42"/>
  <c r="C42"/>
  <c r="B38"/>
  <c r="C38"/>
  <c r="B34"/>
  <c r="C34"/>
  <c r="B30"/>
  <c r="B24"/>
  <c r="C24"/>
  <c r="B14"/>
  <c r="B15"/>
  <c r="C15"/>
  <c r="B11" i="9"/>
  <c r="B17"/>
  <c r="B51"/>
  <c r="B50"/>
  <c r="B48"/>
  <c r="B37"/>
  <c r="B36"/>
  <c r="B33"/>
  <c r="B29"/>
  <c r="B28"/>
  <c r="B24"/>
  <c r="C24"/>
  <c r="B13"/>
  <c r="B47"/>
  <c r="B53"/>
  <c r="C53"/>
  <c r="B42"/>
  <c r="C42"/>
  <c r="B38"/>
  <c r="C38"/>
  <c r="B34"/>
  <c r="C34"/>
  <c r="B30"/>
  <c r="B21"/>
  <c r="B14"/>
  <c r="B13" i="8"/>
  <c r="B28"/>
  <c r="B11"/>
  <c r="B17"/>
  <c r="B51"/>
  <c r="B50"/>
  <c r="B48"/>
  <c r="B45"/>
  <c r="B37"/>
  <c r="B36"/>
  <c r="B33"/>
  <c r="B29"/>
  <c r="B30"/>
  <c r="B24"/>
  <c r="C24"/>
  <c r="B47"/>
  <c r="B42"/>
  <c r="C42"/>
  <c r="B34"/>
  <c r="C34"/>
  <c r="B21"/>
  <c r="B14"/>
  <c r="B51" i="7"/>
  <c r="B50"/>
  <c r="B48" i="6"/>
  <c r="B48" i="7"/>
  <c r="B45"/>
  <c r="B37"/>
  <c r="B36"/>
  <c r="B33"/>
  <c r="B29"/>
  <c r="B28"/>
  <c r="B24"/>
  <c r="C24"/>
  <c r="B19"/>
  <c r="B13"/>
  <c r="B28" i="4"/>
  <c r="B11" i="6"/>
  <c r="B17"/>
  <c r="B11" i="5"/>
  <c r="B17"/>
  <c r="B47" i="7"/>
  <c r="B53"/>
  <c r="C53"/>
  <c r="B42"/>
  <c r="C42"/>
  <c r="B38"/>
  <c r="C38"/>
  <c r="B34"/>
  <c r="C34"/>
  <c r="B30"/>
  <c r="B17"/>
  <c r="B14"/>
  <c r="B11"/>
  <c r="B51" i="6"/>
  <c r="B50"/>
  <c r="B45"/>
  <c r="B37"/>
  <c r="B36"/>
  <c r="B33"/>
  <c r="B29"/>
  <c r="B28"/>
  <c r="B24"/>
  <c r="C24"/>
  <c r="B19"/>
  <c r="B13"/>
  <c r="B47"/>
  <c r="B53"/>
  <c r="C53"/>
  <c r="B42"/>
  <c r="C42"/>
  <c r="B38"/>
  <c r="C38"/>
  <c r="B34"/>
  <c r="C34"/>
  <c r="B30"/>
  <c r="B21"/>
  <c r="B14"/>
  <c r="B51" i="5"/>
  <c r="B48"/>
  <c r="B45"/>
  <c r="B37"/>
  <c r="B36"/>
  <c r="B33"/>
  <c r="B34"/>
  <c r="C34"/>
  <c r="B29"/>
  <c r="B31"/>
  <c r="C31"/>
  <c r="B28"/>
  <c r="B24"/>
  <c r="C24"/>
  <c r="B13"/>
  <c r="B14"/>
  <c r="B15"/>
  <c r="C15"/>
  <c r="B50"/>
  <c r="B47"/>
  <c r="B53"/>
  <c r="C53"/>
  <c r="B42"/>
  <c r="C42"/>
  <c r="B30"/>
  <c r="B21"/>
  <c r="B22"/>
  <c r="C22"/>
  <c r="B17" i="1"/>
  <c r="B11"/>
  <c r="B13" i="4"/>
  <c r="B11"/>
  <c r="B17"/>
  <c r="B51"/>
  <c r="B50"/>
  <c r="B48"/>
  <c r="B45"/>
  <c r="B47"/>
  <c r="B53"/>
  <c r="C53"/>
  <c r="B37"/>
  <c r="B36"/>
  <c r="B33"/>
  <c r="B29"/>
  <c r="B24"/>
  <c r="C24"/>
  <c r="B19"/>
  <c r="B42"/>
  <c r="C42"/>
  <c r="B38"/>
  <c r="C38"/>
  <c r="B34"/>
  <c r="C34"/>
  <c r="B30"/>
  <c r="B21"/>
  <c r="B14"/>
  <c r="B51" i="3"/>
  <c r="B50"/>
  <c r="B48"/>
  <c r="B45"/>
  <c r="B37"/>
  <c r="B36"/>
  <c r="B33"/>
  <c r="B29"/>
  <c r="B19"/>
  <c r="B17" i="2"/>
  <c r="B11"/>
  <c r="B13"/>
  <c r="B47" i="3"/>
  <c r="B42"/>
  <c r="C42"/>
  <c r="B38"/>
  <c r="C38"/>
  <c r="B34"/>
  <c r="C34"/>
  <c r="B24"/>
  <c r="C24"/>
  <c r="B21"/>
  <c r="B22"/>
  <c r="C22"/>
  <c r="B14"/>
  <c r="B51" i="2"/>
  <c r="B50"/>
  <c r="B48"/>
  <c r="B45"/>
  <c r="B47"/>
  <c r="B37"/>
  <c r="B36"/>
  <c r="B33"/>
  <c r="B29"/>
  <c r="B28"/>
  <c r="B24"/>
  <c r="C24"/>
  <c r="B51" i="1"/>
  <c r="B50"/>
  <c r="B48"/>
  <c r="B45"/>
  <c r="B36"/>
  <c r="B33"/>
  <c r="B24"/>
  <c r="B13"/>
  <c r="B29"/>
  <c r="B42" i="2"/>
  <c r="C42"/>
  <c r="B38"/>
  <c r="C38"/>
  <c r="B34"/>
  <c r="C34"/>
  <c r="B21"/>
  <c r="B22"/>
  <c r="C22"/>
  <c r="B14"/>
  <c r="B47" i="1"/>
  <c r="B53"/>
  <c r="C53"/>
  <c r="B42"/>
  <c r="C42"/>
  <c r="B38"/>
  <c r="C38"/>
  <c r="B34"/>
  <c r="C34"/>
  <c r="C24"/>
  <c r="B21"/>
  <c r="B14"/>
  <c r="B15"/>
  <c r="C15"/>
  <c r="B15" i="6"/>
  <c r="C15"/>
  <c r="B22"/>
  <c r="C22"/>
  <c r="B31"/>
  <c r="C31"/>
  <c r="B38" i="5"/>
  <c r="C38"/>
  <c r="B15" i="4"/>
  <c r="C15"/>
  <c r="B22"/>
  <c r="C22"/>
  <c r="B31"/>
  <c r="C31"/>
  <c r="B15" i="2"/>
  <c r="C15"/>
  <c r="B15" i="3"/>
  <c r="C15"/>
  <c r="B30"/>
  <c r="B31"/>
  <c r="C31"/>
  <c r="B53"/>
  <c r="C53"/>
  <c r="B30" i="2"/>
  <c r="B31"/>
  <c r="C31"/>
  <c r="B53"/>
  <c r="C53"/>
  <c r="B22" i="1"/>
  <c r="C22"/>
  <c r="B30"/>
  <c r="B31"/>
  <c r="C31"/>
  <c r="B53" i="8"/>
  <c r="C53"/>
  <c r="B15" i="7"/>
  <c r="C15"/>
  <c r="C55" i="1"/>
  <c r="B55"/>
  <c r="B57"/>
  <c r="B63"/>
  <c r="B55" i="15"/>
  <c r="B59"/>
  <c r="C55"/>
  <c r="C55" i="13"/>
  <c r="B55"/>
  <c r="B59"/>
  <c r="B55" i="12"/>
  <c r="B59"/>
  <c r="C55"/>
  <c r="B22" i="14"/>
  <c r="C22"/>
  <c r="B15"/>
  <c r="C15"/>
  <c r="B31"/>
  <c r="C31"/>
  <c r="B15" i="11"/>
  <c r="C15"/>
  <c r="B31"/>
  <c r="C31"/>
  <c r="B21" i="10"/>
  <c r="B22"/>
  <c r="C22"/>
  <c r="B31"/>
  <c r="C31"/>
  <c r="B47"/>
  <c r="B53"/>
  <c r="C53"/>
  <c r="B15" i="9"/>
  <c r="C15"/>
  <c r="B22"/>
  <c r="C22"/>
  <c r="B31"/>
  <c r="C31"/>
  <c r="B38" i="8"/>
  <c r="C38"/>
  <c r="B22"/>
  <c r="C22"/>
  <c r="B31"/>
  <c r="C31"/>
  <c r="B15"/>
  <c r="B22" i="7"/>
  <c r="C22"/>
  <c r="B21"/>
  <c r="B31"/>
  <c r="C31"/>
  <c r="C55" i="2"/>
  <c r="B55"/>
  <c r="B61"/>
  <c r="C55" i="4"/>
  <c r="B55"/>
  <c r="B59"/>
  <c r="C55" i="5"/>
  <c r="B55"/>
  <c r="B59"/>
  <c r="B55" i="3"/>
  <c r="B59"/>
  <c r="B55" i="6"/>
  <c r="B59"/>
  <c r="C55"/>
  <c r="C55" i="3"/>
  <c r="C15" i="8"/>
  <c r="B55"/>
  <c r="C55" i="14"/>
  <c r="B55"/>
  <c r="B61"/>
  <c r="C55" i="11"/>
  <c r="B55"/>
  <c r="B59"/>
  <c r="B54" i="10"/>
  <c r="B60"/>
  <c r="C54"/>
  <c r="C55" i="9"/>
  <c r="B55"/>
  <c r="B59"/>
  <c r="C55" i="8"/>
  <c r="B59"/>
  <c r="C55" i="7"/>
  <c r="B55"/>
  <c r="B59"/>
</calcChain>
</file>

<file path=xl/sharedStrings.xml><?xml version="1.0" encoding="utf-8"?>
<sst xmlns="http://schemas.openxmlformats.org/spreadsheetml/2006/main" count="1369" uniqueCount="113">
  <si>
    <t>Наименование оказанных услуг</t>
  </si>
  <si>
    <t xml:space="preserve">Сумма затрат в год </t>
  </si>
  <si>
    <r>
      <t>Стоимость затрат за 1м</t>
    </r>
    <r>
      <rPr>
        <sz val="10"/>
        <color indexed="8"/>
        <rFont val="Calibri"/>
        <family val="2"/>
        <charset val="204"/>
      </rPr>
      <t>²/год</t>
    </r>
  </si>
  <si>
    <t>Обслуживание внутренних инженерных сетей МКД</t>
  </si>
  <si>
    <t>Материальные затраты</t>
  </si>
  <si>
    <t>Спецодежда</t>
  </si>
  <si>
    <t>Оплата труда</t>
  </si>
  <si>
    <t>Отчисления на соцнужды</t>
  </si>
  <si>
    <t>Итого по статье</t>
  </si>
  <si>
    <t>Олбслуживание электрооборудования общего имущества МКД</t>
  </si>
  <si>
    <t>Придомовое освещение</t>
  </si>
  <si>
    <t>Обслуживание системы газоснабжения</t>
  </si>
  <si>
    <t>Перечисления согласно договора по ВДГО</t>
  </si>
  <si>
    <t>Обслуживание придомовой территории и прочее содерж. МКД</t>
  </si>
  <si>
    <t xml:space="preserve">Материальные затраты </t>
  </si>
  <si>
    <t>Транспортные расходы(мусоров. а/м)</t>
  </si>
  <si>
    <t>Дератизация и дезинфекция</t>
  </si>
  <si>
    <t>Перечисление согласно договора</t>
  </si>
  <si>
    <t>Обслуживание приборов учета и содержание РКЦ</t>
  </si>
  <si>
    <t xml:space="preserve"> Затраты по содержанию РКЦ</t>
  </si>
  <si>
    <t>Текущ. работы по ослуж. Компьтер.</t>
  </si>
  <si>
    <t>Текущий ремонт общего имущества МКД (согласно смет)</t>
  </si>
  <si>
    <t>Расходы на ресурсоснабжение (водоснабжение, водоотведение)</t>
  </si>
  <si>
    <t>Управленческие расходы</t>
  </si>
  <si>
    <t>Транспортные расходы</t>
  </si>
  <si>
    <t>Аренда помещения</t>
  </si>
  <si>
    <t>Тех. обслужив. Орг. технич. затраты</t>
  </si>
  <si>
    <t>Расходы на ресурсоснабжение и пож. Безопасность (э/эн., вода, кан.)</t>
  </si>
  <si>
    <t>Услуги связи</t>
  </si>
  <si>
    <t>Почтовые расходы</t>
  </si>
  <si>
    <t>Общий итог понесенных затрат</t>
  </si>
  <si>
    <t>Остаток средств на 01.01.2014</t>
  </si>
  <si>
    <t>Начислено за отчетный период</t>
  </si>
  <si>
    <t>Отчет за 2014г по содержанию и текущему ремонту МКД ул. 1 Мая 30 п. Пашия</t>
  </si>
  <si>
    <t>Отчет за 2014г по содержанию и текущему ремонту МКД ул. 1 Мая 34 п. Пашия</t>
  </si>
  <si>
    <t>Отчет за 2014г по содержанию и текущему ремонту МКД ул. Свердловская 27п. Пашия</t>
  </si>
  <si>
    <t>Отчет за 2014г по содержанию и текущему ремонту МКД ул. Свердловская 29п. Пашия</t>
  </si>
  <si>
    <t>Отчет за 2014г по содержанию и текущему ремонту МКД ул. Свердловская 31п. Пашия</t>
  </si>
  <si>
    <t>S = 3031,8м²</t>
  </si>
  <si>
    <t>S = 599,2м²</t>
  </si>
  <si>
    <t>Остаток средств на 01.01.2015</t>
  </si>
  <si>
    <t>Отчет за 2014г по содержанию и текущему ремонту МКД ул. Свердловская 33п. Пашия</t>
  </si>
  <si>
    <t>Отчет за 2014г по содержанию и текущему ремонту МКД ул. Свердловская 37п. Пашия</t>
  </si>
  <si>
    <t>S = 2709,2м²</t>
  </si>
  <si>
    <t>Отчет за 2014г по содержанию и текущему ремонту МКД ул. Свердловская 39п. Пашия</t>
  </si>
  <si>
    <t>Отчет за 2014г по содержанию и текущему ремонту МКД ул. Свердловская 42п. Пашия</t>
  </si>
  <si>
    <t>S = 357,1м²</t>
  </si>
  <si>
    <t>Отчет за 2014г по содержанию и текущему ремонту МКД ул. Коммуны 31 п. Пашия</t>
  </si>
  <si>
    <t>S = 1948,8м²</t>
  </si>
  <si>
    <t>Отчет за 2014г по содержанию и текущему ремонту МКД ул. Свердловская 52п. Пашия</t>
  </si>
  <si>
    <t>S = 361,4м²</t>
  </si>
  <si>
    <t>Отчет за 2014г по содержанию и текущему ремонту МКД ул. Коммуны 29п. Пашия</t>
  </si>
  <si>
    <t>S = 895,9м²</t>
  </si>
  <si>
    <t>Отчет за 2014г по содержанию и текущему ремонту МКД ул. Ленина 27 п. Пашия</t>
  </si>
  <si>
    <t>S = 448,1м²</t>
  </si>
  <si>
    <t>Отчет за 2014г по содержанию и текущему ремонту МКД ул. Ленина 25 п. Пашия</t>
  </si>
  <si>
    <t>S = 453м²</t>
  </si>
  <si>
    <t>S = 1698,1м²</t>
  </si>
  <si>
    <t>Отчет за 2014г по содержанию и текущему ремонту МКД ул. Ленина 15 п. Пашия</t>
  </si>
  <si>
    <t>Отчет за 2014г по содержанию и текущему ремонту МКД ул. Ленина 10 п. Пашия</t>
  </si>
  <si>
    <t>S = 672,2м²</t>
  </si>
  <si>
    <t>S = 4084,5м²</t>
  </si>
  <si>
    <t>Отчет за 2014г по содержанию и текущему ремонту МКД ул.Пролетарская 20 п. Пашия</t>
  </si>
  <si>
    <t>Штрафы, пени</t>
  </si>
  <si>
    <t>Целевой взнос (выполнен. работы)</t>
  </si>
  <si>
    <t>Всего затрат с работами по целевому взносу</t>
  </si>
  <si>
    <t>Фактически оплачено по целевому вносу</t>
  </si>
  <si>
    <t>S = 3286,5 м²</t>
  </si>
  <si>
    <t>Стоимость затрат на 1м²/год</t>
  </si>
  <si>
    <t>Отчет за 2014г по содержанию и текущему ремонту МКД ул. Строителей 2 п. Пашия</t>
  </si>
  <si>
    <t>S = 443,1м²</t>
  </si>
  <si>
    <t>Отчет за 2014г по содержанию и текущему ремонту МКД ул. К.Маркса 69 п. Пашия</t>
  </si>
  <si>
    <t>S = 441,2м²</t>
  </si>
  <si>
    <t>Отчет за 2014г по содержанию и текущему ремонту МКД ул. К.Маркса 71 п. Пашия</t>
  </si>
  <si>
    <t>S = 455,3м²</t>
  </si>
  <si>
    <t>Отчет за 2014г по содержанию и текущему ремонту МКД ул. М.Горького 5 п. Пашия</t>
  </si>
  <si>
    <t>S = 600,6м²</t>
  </si>
  <si>
    <t xml:space="preserve"> </t>
  </si>
  <si>
    <t>Площадь жилых помещений, м²</t>
  </si>
  <si>
    <t>Количество зарегистрированных жителей</t>
  </si>
  <si>
    <t>Год постройки</t>
  </si>
  <si>
    <t>Количество этажей</t>
  </si>
  <si>
    <t>Установленный тариф на содерж. и ТР в  2014г</t>
  </si>
  <si>
    <t>Текущ. работы по ослуж. компьтер.</t>
  </si>
  <si>
    <t>S=3895,5м²</t>
  </si>
  <si>
    <t>S = 2613м²</t>
  </si>
  <si>
    <t>S = 3932 м²</t>
  </si>
  <si>
    <t>S = 4244,4м²</t>
  </si>
  <si>
    <t>S = 3233,7м²</t>
  </si>
  <si>
    <t>S = 3126,9м²</t>
  </si>
  <si>
    <t>Фактическая оплата содержание и ТР</t>
  </si>
  <si>
    <t>Содержание и ТР (магазин)</t>
  </si>
  <si>
    <t>Оплата содержание и ТР (ИП "Головкин")</t>
  </si>
  <si>
    <t>Оплата содержание (ИП "Тетерин")</t>
  </si>
  <si>
    <t>Отчет за 2014г по содержанию и текущему ремонту МКД ул. 1 Мая 37 п. Пашия</t>
  </si>
  <si>
    <t>Отчет за 2014г по содержанию и текущему ремонту МКД ул. Луначарского 34 п. Пашия</t>
  </si>
  <si>
    <t>Оплата содержания и ТР</t>
  </si>
  <si>
    <t>Фактическая оплата по содержанию и ТР</t>
  </si>
  <si>
    <r>
      <t xml:space="preserve">Всего доход (оплата </t>
    </r>
    <r>
      <rPr>
        <sz val="10"/>
        <color indexed="8"/>
        <rFont val="Calibri"/>
        <family val="2"/>
        <charset val="204"/>
      </rPr>
      <t>(население + магазин)</t>
    </r>
  </si>
  <si>
    <t>Доход (оплата собственников МКД)</t>
  </si>
  <si>
    <r>
      <rPr>
        <b/>
        <i/>
        <sz val="10"/>
        <color indexed="8"/>
        <rFont val="Calibri"/>
        <family val="2"/>
        <charset val="204"/>
      </rPr>
      <t>Всего доход (содержание и ТР</t>
    </r>
    <r>
      <rPr>
        <sz val="9"/>
        <color indexed="8"/>
        <rFont val="Calibri"/>
        <family val="2"/>
        <charset val="204"/>
      </rPr>
      <t>(население+магаз.)</t>
    </r>
  </si>
  <si>
    <t>Доход (оплата содерж. собственников МКД)</t>
  </si>
  <si>
    <t>Доход (оплата содерж. собственниками МКД)</t>
  </si>
  <si>
    <t>Доход (оплата Содерж. собственниками МКД)</t>
  </si>
  <si>
    <r>
      <t>Доход</t>
    </r>
    <r>
      <rPr>
        <sz val="10"/>
        <color indexed="8"/>
        <rFont val="Calibri"/>
        <family val="2"/>
        <charset val="204"/>
      </rPr>
      <t xml:space="preserve"> (оплата содеж. собственниками МКД)</t>
    </r>
  </si>
  <si>
    <r>
      <t>Доход (</t>
    </r>
    <r>
      <rPr>
        <sz val="10"/>
        <color indexed="8"/>
        <rFont val="Calibri"/>
        <family val="2"/>
        <charset val="204"/>
      </rPr>
      <t>оплата содерж. собственниками МКД)</t>
    </r>
  </si>
  <si>
    <r>
      <t xml:space="preserve">Доход </t>
    </r>
    <r>
      <rPr>
        <sz val="10"/>
        <color indexed="8"/>
        <rFont val="Calibri"/>
        <family val="2"/>
        <charset val="204"/>
      </rPr>
      <t>(оплата содерж. собственниками МКД)</t>
    </r>
  </si>
  <si>
    <r>
      <t xml:space="preserve">Всего доход </t>
    </r>
    <r>
      <rPr>
        <sz val="10"/>
        <color indexed="8"/>
        <rFont val="Calibri"/>
        <family val="2"/>
        <charset val="204"/>
      </rPr>
      <t>(оплата (содерж.+ целев. взнос)</t>
    </r>
  </si>
  <si>
    <r>
      <t xml:space="preserve">Доход </t>
    </r>
    <r>
      <rPr>
        <sz val="10"/>
        <color indexed="8"/>
        <rFont val="Calibri"/>
        <family val="2"/>
        <charset val="204"/>
      </rPr>
      <t>(оплата собственниками МКД)</t>
    </r>
    <r>
      <rPr>
        <b/>
        <sz val="10"/>
        <color indexed="8"/>
        <rFont val="Calibri"/>
        <family val="2"/>
        <charset val="204"/>
      </rPr>
      <t xml:space="preserve"> </t>
    </r>
  </si>
  <si>
    <r>
      <t xml:space="preserve">Доход </t>
    </r>
    <r>
      <rPr>
        <sz val="10"/>
        <color indexed="8"/>
        <rFont val="Calibri"/>
        <family val="2"/>
        <charset val="204"/>
      </rPr>
      <t>( оплата собственниками МКД)</t>
    </r>
  </si>
  <si>
    <r>
      <t xml:space="preserve">Доход </t>
    </r>
    <r>
      <rPr>
        <sz val="10"/>
        <color indexed="8"/>
        <rFont val="Calibri"/>
        <family val="2"/>
        <charset val="204"/>
      </rPr>
      <t>(оплата собственниками МКД)</t>
    </r>
  </si>
  <si>
    <r>
      <t xml:space="preserve">Доход </t>
    </r>
    <r>
      <rPr>
        <sz val="10"/>
        <color indexed="8"/>
        <rFont val="Calibri"/>
        <family val="2"/>
        <charset val="204"/>
      </rPr>
      <t>(оплата содерж.собственников МКД)</t>
    </r>
  </si>
  <si>
    <r>
      <t xml:space="preserve">Доход </t>
    </r>
    <r>
      <rPr>
        <sz val="10"/>
        <color indexed="8"/>
        <rFont val="Calibri"/>
        <family val="2"/>
        <charset val="204"/>
      </rPr>
      <t>( оплата содерж. собственников МКД)</t>
    </r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</si>
</sst>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i/>
      <sz val="10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4" fillId="0" borderId="1" xfId="0" applyFont="1" applyBorder="1"/>
    <xf numFmtId="2" fontId="4" fillId="0" borderId="1" xfId="0" applyNumberFormat="1" applyFont="1" applyBorder="1"/>
    <xf numFmtId="0" fontId="2" fillId="0" borderId="1" xfId="0" applyFont="1" applyBorder="1" applyAlignment="1">
      <alignment wrapText="1"/>
    </xf>
    <xf numFmtId="0" fontId="1" fillId="0" borderId="0" xfId="0" applyFont="1"/>
    <xf numFmtId="1" fontId="2" fillId="0" borderId="1" xfId="0" applyNumberFormat="1" applyFont="1" applyBorder="1"/>
    <xf numFmtId="0" fontId="4" fillId="0" borderId="0" xfId="0" applyFont="1" applyFill="1" applyBorder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workbookViewId="0">
      <selection activeCell="L40" sqref="L40"/>
    </sheetView>
  </sheetViews>
  <sheetFormatPr defaultRowHeight="15"/>
  <cols>
    <col min="1" max="1" width="38.140625" customWidth="1"/>
    <col min="2" max="2" width="13.7109375" customWidth="1"/>
    <col min="3" max="3" width="14.85546875" customWidth="1"/>
    <col min="4" max="4" width="13.5703125" customWidth="1"/>
  </cols>
  <sheetData>
    <row r="1" spans="1:4">
      <c r="A1" s="9" t="s">
        <v>33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3286.5</v>
      </c>
      <c r="C3" s="9"/>
      <c r="D3" s="9"/>
    </row>
    <row r="4" spans="1:4">
      <c r="A4" s="3" t="s">
        <v>80</v>
      </c>
      <c r="B4" s="3">
        <v>1984</v>
      </c>
      <c r="C4" s="9"/>
      <c r="D4" s="9"/>
    </row>
    <row r="5" spans="1:4">
      <c r="A5" s="3" t="s">
        <v>81</v>
      </c>
      <c r="B5" s="3">
        <v>5</v>
      </c>
      <c r="C5" s="9"/>
      <c r="D5" s="9"/>
    </row>
    <row r="6" spans="1:4">
      <c r="A6" s="3" t="s">
        <v>79</v>
      </c>
      <c r="B6" s="3">
        <v>143</v>
      </c>
      <c r="C6" s="9"/>
      <c r="D6" s="9"/>
    </row>
    <row r="7" spans="1:4">
      <c r="A7" s="3" t="s">
        <v>82</v>
      </c>
      <c r="B7" s="15">
        <v>15</v>
      </c>
      <c r="C7" s="9"/>
      <c r="D7" s="12"/>
    </row>
    <row r="8" spans="1:4" ht="33.75" customHeight="1">
      <c r="A8" s="1" t="s">
        <v>0</v>
      </c>
      <c r="B8" s="2" t="s">
        <v>1</v>
      </c>
      <c r="C8" s="2" t="s">
        <v>68</v>
      </c>
      <c r="D8" s="14" t="s">
        <v>67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>
        <f>25+125*4+2*80+41.95+6*8</f>
        <v>774.95</v>
      </c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960770.17*0.64/43531.5*3286.5</f>
        <v>46422.603052300066</v>
      </c>
      <c r="C13" s="3"/>
      <c r="D13" s="3"/>
    </row>
    <row r="14" spans="1:4">
      <c r="A14" s="3" t="s">
        <v>7</v>
      </c>
      <c r="B14" s="5">
        <f>B13*0.302</f>
        <v>14019.626121794619</v>
      </c>
      <c r="C14" s="3"/>
      <c r="D14" s="3"/>
    </row>
    <row r="15" spans="1:4">
      <c r="A15" s="6" t="s">
        <v>8</v>
      </c>
      <c r="B15" s="7">
        <f>SUM(B11:B14)</f>
        <v>61217.179174094679</v>
      </c>
      <c r="C15" s="7">
        <f>B15/3286.6</f>
        <v>18.626294399712371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>
        <f>18*11+6*99+10.5+3*54+95</f>
        <v>1059.5</v>
      </c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204766/43531.5*3286.5</f>
        <v>15459.229730195375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4668.6873785190028</v>
      </c>
      <c r="C21" s="3"/>
      <c r="D21" s="5"/>
    </row>
    <row r="22" spans="1:4">
      <c r="A22" s="6" t="s">
        <v>8</v>
      </c>
      <c r="B22" s="7">
        <f>SUM(B17:B21)</f>
        <v>21187.417108714377</v>
      </c>
      <c r="C22" s="7">
        <f>B22/3286.6</f>
        <v>6.4466065565369615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189083.2/43531.5*3286.5</f>
        <v>14275.22453395817</v>
      </c>
      <c r="C24" s="7">
        <f>B24/3286.6</f>
        <v>4.3434627073444201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>
        <f>1500/43531.5*3286.5</f>
        <v>113.24558078632714</v>
      </c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404239.93*0.64/43531.5*3286.5</f>
        <v>19532.111210613006</v>
      </c>
      <c r="C28" s="3"/>
      <c r="D28" s="5"/>
    </row>
    <row r="29" spans="1:4">
      <c r="A29" s="3" t="s">
        <v>15</v>
      </c>
      <c r="B29" s="5">
        <f>(134253+40544.4+265003.7+7080*12+356.81*7+15000)/43531.5*3286.6</f>
        <v>40940.185233267861</v>
      </c>
      <c r="C29" s="3"/>
      <c r="D29" s="3"/>
    </row>
    <row r="30" spans="1:4">
      <c r="A30" s="3" t="s">
        <v>7</v>
      </c>
      <c r="B30" s="5">
        <f>B28*0.302</f>
        <v>5898.6975856051276</v>
      </c>
      <c r="C30" s="3"/>
      <c r="D30" s="5"/>
    </row>
    <row r="31" spans="1:4">
      <c r="A31" s="6" t="s">
        <v>8</v>
      </c>
      <c r="B31" s="7">
        <f>SUM(B26:B30)</f>
        <v>66484.239610272314</v>
      </c>
      <c r="C31" s="7">
        <f>B31/3286.6</f>
        <v>20.228880791782487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49104.78/43531.5*3286.5</f>
        <v>3707.2662203232144</v>
      </c>
      <c r="C33" s="3"/>
      <c r="D33" s="5"/>
    </row>
    <row r="34" spans="1:4">
      <c r="A34" s="6" t="s">
        <v>8</v>
      </c>
      <c r="B34" s="7">
        <f>SUM(B33:B33)</f>
        <v>3707.2662203232144</v>
      </c>
      <c r="C34" s="7">
        <f>B34/3286.6</f>
        <v>1.1279943468396563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373535.28/43531.5*3286.5</f>
        <v>28200.813151855553</v>
      </c>
      <c r="C36" s="3"/>
      <c r="D36" s="5"/>
    </row>
    <row r="37" spans="1:4">
      <c r="A37" s="3" t="s">
        <v>83</v>
      </c>
      <c r="B37" s="5">
        <f>(12150+8250+1040)/43531.5*3286.5</f>
        <v>1618.6568347059026</v>
      </c>
      <c r="C37" s="3"/>
      <c r="D37" s="5"/>
    </row>
    <row r="38" spans="1:4">
      <c r="A38" s="6" t="s">
        <v>8</v>
      </c>
      <c r="B38" s="7">
        <f>SUM(B36:B37)</f>
        <v>29819.469986561457</v>
      </c>
      <c r="C38" s="7">
        <f>B38/3286.6</f>
        <v>9.0730450881036511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5">
        <v>281765</v>
      </c>
      <c r="C40" s="3"/>
      <c r="D40" s="5"/>
    </row>
    <row r="41" spans="1:4" ht="26.25">
      <c r="A41" s="8" t="s">
        <v>22</v>
      </c>
      <c r="B41" s="5">
        <v>42733.54</v>
      </c>
      <c r="C41" s="3"/>
      <c r="D41" s="5"/>
    </row>
    <row r="42" spans="1:4">
      <c r="A42" s="6" t="s">
        <v>8</v>
      </c>
      <c r="B42" s="7">
        <f>SUM(B40:B41)</f>
        <v>324498.53999999998</v>
      </c>
      <c r="C42" s="7">
        <f>B42/3286.6</f>
        <v>98.733810016430354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1624587/43531.5*3286.5</f>
        <v>122651.5322352779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37040.762735053926</v>
      </c>
      <c r="C47" s="3"/>
      <c r="D47" s="5"/>
    </row>
    <row r="48" spans="1:4">
      <c r="A48" s="3" t="s">
        <v>25</v>
      </c>
      <c r="B48" s="5">
        <f>(26463.66+29574)/43531.5*3286.5</f>
        <v>4230.6782350711555</v>
      </c>
      <c r="C48" s="3"/>
      <c r="D48" s="5"/>
    </row>
    <row r="49" spans="1:5">
      <c r="A49" s="3" t="s">
        <v>26</v>
      </c>
      <c r="B49" s="5">
        <f>26500/43531.5*3286.5</f>
        <v>2000.671927225113</v>
      </c>
      <c r="C49" s="3"/>
      <c r="D49" s="5"/>
    </row>
    <row r="50" spans="1:5" ht="26.25">
      <c r="A50" s="8" t="s">
        <v>27</v>
      </c>
      <c r="B50" s="5">
        <f>10238.68/43531.5*3286.5</f>
        <v>772.99017539023464</v>
      </c>
      <c r="C50" s="3"/>
      <c r="D50" s="5"/>
    </row>
    <row r="51" spans="1:5">
      <c r="A51" s="3" t="s">
        <v>28</v>
      </c>
      <c r="B51" s="5">
        <f>36364/43531.5*3286.5</f>
        <v>2745.3748664760001</v>
      </c>
      <c r="C51" s="3"/>
      <c r="D51" s="5"/>
    </row>
    <row r="52" spans="1:5">
      <c r="A52" s="3" t="s">
        <v>29</v>
      </c>
      <c r="B52" s="5"/>
      <c r="C52" s="3"/>
      <c r="D52" s="3"/>
    </row>
    <row r="53" spans="1:5">
      <c r="A53" s="6" t="s">
        <v>8</v>
      </c>
      <c r="B53" s="7">
        <f>SUM(B44:B52)</f>
        <v>169442.01017449432</v>
      </c>
      <c r="C53" s="7">
        <f>B53/3286.6</f>
        <v>51.555409899134162</v>
      </c>
      <c r="D53" s="6"/>
    </row>
    <row r="54" spans="1:5">
      <c r="A54" s="3" t="s">
        <v>63</v>
      </c>
      <c r="B54" s="3">
        <v>20000</v>
      </c>
      <c r="C54" s="5">
        <f>B54/3286.5</f>
        <v>6.0855012931690249</v>
      </c>
      <c r="D54" s="3"/>
    </row>
    <row r="55" spans="1:5">
      <c r="A55" s="6" t="s">
        <v>30</v>
      </c>
      <c r="B55" s="7">
        <f>B15+B22+B24+B31+B34+B38+B42+B53+B54</f>
        <v>710631.34680841852</v>
      </c>
      <c r="C55" s="7">
        <f>C15+C22+C24+C31+C34+C38+C42+C53+C54</f>
        <v>216.22100509905309</v>
      </c>
      <c r="D55" s="6"/>
    </row>
    <row r="56" spans="1:5">
      <c r="A56" s="3" t="s">
        <v>64</v>
      </c>
      <c r="B56" s="5">
        <v>134144</v>
      </c>
      <c r="C56" s="7"/>
      <c r="D56" s="6"/>
    </row>
    <row r="57" spans="1:5">
      <c r="A57" s="6" t="s">
        <v>65</v>
      </c>
      <c r="B57" s="7">
        <f>B55+B56</f>
        <v>844775.34680841852</v>
      </c>
      <c r="C57" s="7"/>
      <c r="D57" s="6"/>
    </row>
    <row r="58" spans="1:5">
      <c r="A58" s="3" t="s">
        <v>31</v>
      </c>
      <c r="B58" s="3">
        <v>160315.99</v>
      </c>
      <c r="C58" s="3"/>
      <c r="D58" s="3"/>
      <c r="E58" t="s">
        <v>77</v>
      </c>
    </row>
    <row r="59" spans="1:5">
      <c r="A59" s="3" t="s">
        <v>32</v>
      </c>
      <c r="B59" s="3">
        <v>591984</v>
      </c>
      <c r="C59" s="3"/>
      <c r="D59" s="3"/>
    </row>
    <row r="60" spans="1:5">
      <c r="A60" s="6" t="s">
        <v>97</v>
      </c>
      <c r="B60" s="6">
        <v>572283.41</v>
      </c>
      <c r="C60" s="6"/>
      <c r="D60" s="6"/>
    </row>
    <row r="61" spans="1:5">
      <c r="A61" s="3" t="s">
        <v>66</v>
      </c>
      <c r="B61" s="3">
        <v>131586.32</v>
      </c>
      <c r="C61" s="3"/>
      <c r="D61" s="3"/>
    </row>
    <row r="62" spans="1:5">
      <c r="A62" s="6" t="s">
        <v>107</v>
      </c>
      <c r="B62" s="6">
        <f>B60+B61</f>
        <v>703869.73</v>
      </c>
      <c r="C62" s="6"/>
      <c r="D62" s="6"/>
    </row>
    <row r="63" spans="1:5">
      <c r="A63" s="6" t="s">
        <v>40</v>
      </c>
      <c r="B63" s="7">
        <f>B58+B62-B57</f>
        <v>19410.373191581457</v>
      </c>
      <c r="C63" s="6"/>
      <c r="D63" s="6"/>
    </row>
    <row r="64" spans="1:5">
      <c r="A64" s="11"/>
    </row>
    <row r="65" spans="1:1">
      <c r="A65" s="11"/>
    </row>
  </sheetData>
  <mergeCells count="8">
    <mergeCell ref="A43:D43"/>
    <mergeCell ref="A32:D32"/>
    <mergeCell ref="A35:D35"/>
    <mergeCell ref="A10:D10"/>
    <mergeCell ref="A16:D16"/>
    <mergeCell ref="A23:D23"/>
    <mergeCell ref="A25:D25"/>
    <mergeCell ref="A39:D39"/>
  </mergeCells>
  <phoneticPr fontId="5" type="noConversion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60"/>
  <sheetViews>
    <sheetView topLeftCell="A37" workbookViewId="0">
      <selection activeCell="A59" sqref="A59"/>
    </sheetView>
  </sheetViews>
  <sheetFormatPr defaultRowHeight="15"/>
  <cols>
    <col min="1" max="1" width="41.42578125" customWidth="1"/>
    <col min="2" max="2" width="17.5703125" customWidth="1"/>
    <col min="3" max="3" width="14.85546875" customWidth="1"/>
    <col min="4" max="4" width="12.5703125" customWidth="1"/>
  </cols>
  <sheetData>
    <row r="1" spans="1:4">
      <c r="A1" s="9" t="s">
        <v>44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3126.9</v>
      </c>
      <c r="C3" s="9"/>
      <c r="D3" s="9"/>
    </row>
    <row r="4" spans="1:4">
      <c r="A4" s="3" t="s">
        <v>80</v>
      </c>
      <c r="B4" s="3">
        <v>1973</v>
      </c>
      <c r="C4" s="9"/>
      <c r="D4" s="9"/>
    </row>
    <row r="5" spans="1:4">
      <c r="A5" s="3" t="s">
        <v>81</v>
      </c>
      <c r="B5" s="3">
        <v>5</v>
      </c>
      <c r="C5" s="9"/>
      <c r="D5" s="9"/>
    </row>
    <row r="6" spans="1:4">
      <c r="A6" s="3" t="s">
        <v>79</v>
      </c>
      <c r="B6" s="3">
        <v>100</v>
      </c>
      <c r="C6" s="9"/>
      <c r="D6" s="9"/>
    </row>
    <row r="7" spans="1:4">
      <c r="A7" s="3" t="s">
        <v>82</v>
      </c>
      <c r="B7" s="5">
        <v>15</v>
      </c>
      <c r="C7" s="9"/>
      <c r="D7" s="9"/>
    </row>
    <row r="8" spans="1:4" ht="38.25">
      <c r="A8" s="1" t="s">
        <v>0</v>
      </c>
      <c r="B8" s="2" t="s">
        <v>1</v>
      </c>
      <c r="C8" s="2" t="s">
        <v>2</v>
      </c>
      <c r="D8" s="14" t="s">
        <v>89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>
        <f>5*22+6.5+2*95</f>
        <v>306.5</v>
      </c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960770.17*0.64/43531.5*3126.9</f>
        <v>44168.214661261853</v>
      </c>
      <c r="C13" s="3"/>
      <c r="D13" s="3"/>
    </row>
    <row r="14" spans="1:4">
      <c r="A14" s="3" t="s">
        <v>7</v>
      </c>
      <c r="B14" s="5">
        <f>B13*0.302</f>
        <v>13338.800827701079</v>
      </c>
      <c r="C14" s="3"/>
      <c r="D14" s="3"/>
    </row>
    <row r="15" spans="1:4">
      <c r="A15" s="6" t="s">
        <v>8</v>
      </c>
      <c r="B15" s="7">
        <f>SUM(B11:B14)</f>
        <v>57813.515488962934</v>
      </c>
      <c r="C15" s="7">
        <f>B15/3310.9</f>
        <v>17.461571019651132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>
        <f>50*11+16*99+16.67</f>
        <v>2150.67</v>
      </c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204766*0.64/43531.5*3310.9</f>
        <v>9967.3624758163642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3010.1434676965418</v>
      </c>
      <c r="C21" s="3"/>
      <c r="D21" s="5"/>
    </row>
    <row r="22" spans="1:4">
      <c r="A22" s="6" t="s">
        <v>8</v>
      </c>
      <c r="B22" s="7">
        <f>SUM(B17:B21)</f>
        <v>15128.175943512906</v>
      </c>
      <c r="C22" s="7">
        <f>B22/3310.9</f>
        <v>4.5692035227620602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189083.2/43531.5*2709.2</f>
        <v>11767.667216613258</v>
      </c>
      <c r="C24" s="7">
        <f>B24/3310.9</f>
        <v>3.5542200660283481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/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404239.93*0.64/43531.5*3126.9</f>
        <v>18583.586960129564</v>
      </c>
      <c r="C28" s="3"/>
      <c r="D28" s="5"/>
    </row>
    <row r="29" spans="1:4">
      <c r="A29" s="3" t="s">
        <v>15</v>
      </c>
      <c r="B29" s="5">
        <f>(134253+40544.4+265003.7+7080*12+356.81*7+15000)/43531.5*3126.9</f>
        <v>38950.850485579409</v>
      </c>
      <c r="C29" s="3"/>
      <c r="D29" s="3"/>
    </row>
    <row r="30" spans="1:4">
      <c r="A30" s="3" t="s">
        <v>7</v>
      </c>
      <c r="B30" s="5">
        <f>B28*0.302</f>
        <v>5612.2432619591282</v>
      </c>
      <c r="C30" s="3"/>
      <c r="D30" s="5"/>
    </row>
    <row r="31" spans="1:4">
      <c r="A31" s="6" t="s">
        <v>8</v>
      </c>
      <c r="B31" s="7">
        <f>SUM(B26:B30)</f>
        <v>63146.6807076681</v>
      </c>
      <c r="C31" s="7">
        <f>B31/3310.9</f>
        <v>19.07236120319795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49104.78/43531.5*3126.9</f>
        <v>3527.2328447675823</v>
      </c>
      <c r="C33" s="3"/>
      <c r="D33" s="5"/>
    </row>
    <row r="34" spans="1:4">
      <c r="A34" s="6" t="s">
        <v>8</v>
      </c>
      <c r="B34" s="7">
        <f>SUM(B33:B33)</f>
        <v>3527.2328447675823</v>
      </c>
      <c r="C34" s="7">
        <f>B34/3310.9</f>
        <v>1.0653395888633248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373535.28/43531.5*3126.9</f>
        <v>26831.316794321356</v>
      </c>
      <c r="C36" s="3"/>
      <c r="D36" s="5"/>
    </row>
    <row r="37" spans="1:4">
      <c r="A37" s="3" t="s">
        <v>20</v>
      </c>
      <c r="B37" s="5">
        <f>(26500+12150+8250+1040)/43531.5*33126.9</f>
        <v>36481.710623341722</v>
      </c>
      <c r="C37" s="3"/>
      <c r="D37" s="5"/>
    </row>
    <row r="38" spans="1:4">
      <c r="A38" s="6" t="s">
        <v>8</v>
      </c>
      <c r="B38" s="7">
        <f>SUM(B36:B37)</f>
        <v>63313.027417663077</v>
      </c>
      <c r="C38" s="7">
        <f>B38/3310.9</f>
        <v>19.122603345816266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10">
        <v>195049</v>
      </c>
      <c r="C40" s="3"/>
      <c r="D40" s="5"/>
    </row>
    <row r="41" spans="1:4" ht="26.25">
      <c r="A41" s="8" t="s">
        <v>22</v>
      </c>
      <c r="B41" s="5">
        <v>39165.46</v>
      </c>
      <c r="C41" s="3"/>
      <c r="D41" s="5"/>
    </row>
    <row r="42" spans="1:4">
      <c r="A42" s="6" t="s">
        <v>8</v>
      </c>
      <c r="B42" s="7">
        <f>SUM(B40:B41)</f>
        <v>234214.46</v>
      </c>
      <c r="C42" s="7">
        <f>B42/3310.9</f>
        <v>70.740421033555833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1524587/43531.5*3126.9</f>
        <v>109512.21736673443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33072.689644753795</v>
      </c>
      <c r="C47" s="3"/>
      <c r="D47" s="5"/>
    </row>
    <row r="48" spans="1:4">
      <c r="A48" s="3" t="s">
        <v>25</v>
      </c>
      <c r="B48" s="5">
        <f>(26463.66+29574)/43531.5*3126.9</f>
        <v>4025.2267680645054</v>
      </c>
      <c r="C48" s="3"/>
      <c r="D48" s="5"/>
    </row>
    <row r="49" spans="1:4">
      <c r="A49" s="3" t="s">
        <v>26</v>
      </c>
      <c r="B49" s="5"/>
      <c r="C49" s="3"/>
      <c r="D49" s="5"/>
    </row>
    <row r="50" spans="1:4" ht="26.25">
      <c r="A50" s="8" t="s">
        <v>27</v>
      </c>
      <c r="B50" s="5">
        <f>10238.68/43531.5*3126.9</f>
        <v>735.45199434891981</v>
      </c>
      <c r="C50" s="3"/>
      <c r="D50" s="5"/>
    </row>
    <row r="51" spans="1:4">
      <c r="A51" s="3" t="s">
        <v>28</v>
      </c>
      <c r="B51" s="5">
        <f>36364/43531.5*3126.9</f>
        <v>2612.0531477206164</v>
      </c>
      <c r="C51" s="3"/>
      <c r="D51" s="5"/>
    </row>
    <row r="52" spans="1:4">
      <c r="A52" s="3" t="s">
        <v>29</v>
      </c>
      <c r="B52" s="5"/>
      <c r="C52" s="3"/>
      <c r="D52" s="3"/>
    </row>
    <row r="53" spans="1:4">
      <c r="A53" s="6" t="s">
        <v>8</v>
      </c>
      <c r="B53" s="7">
        <f>SUM(B44:B52)</f>
        <v>149957.63892162227</v>
      </c>
      <c r="C53" s="7">
        <f>B53/3310.9</f>
        <v>45.29210756036796</v>
      </c>
      <c r="D53" s="6"/>
    </row>
    <row r="54" spans="1:4">
      <c r="A54" s="6" t="s">
        <v>30</v>
      </c>
      <c r="B54" s="7">
        <f>B15+B22+B24+B31+B34+B38+B42+B53</f>
        <v>598868.3985408101</v>
      </c>
      <c r="C54" s="7">
        <f>C15+C22+C24+C31+C34+C38+C42+C53</f>
        <v>180.87782734024287</v>
      </c>
      <c r="D54" s="6"/>
    </row>
    <row r="55" spans="1:4">
      <c r="A55" s="3" t="s">
        <v>31</v>
      </c>
      <c r="B55" s="3">
        <v>-35628.99</v>
      </c>
      <c r="C55" s="3"/>
      <c r="D55" s="3"/>
    </row>
    <row r="56" spans="1:4">
      <c r="A56" s="3" t="s">
        <v>32</v>
      </c>
      <c r="B56" s="3">
        <v>511289.04</v>
      </c>
      <c r="C56" s="3"/>
      <c r="D56" s="3"/>
    </row>
    <row r="57" spans="1:4">
      <c r="A57" s="6" t="s">
        <v>90</v>
      </c>
      <c r="B57" s="6">
        <v>500140.77</v>
      </c>
      <c r="C57" s="6"/>
      <c r="D57" s="6"/>
    </row>
    <row r="58" spans="1:4">
      <c r="A58" s="16" t="s">
        <v>92</v>
      </c>
      <c r="B58" s="3">
        <v>20106.46</v>
      </c>
      <c r="C58" s="6"/>
      <c r="D58" s="6"/>
    </row>
    <row r="59" spans="1:4">
      <c r="A59" s="16" t="s">
        <v>100</v>
      </c>
      <c r="B59" s="6">
        <f>SUM(B57:B58)</f>
        <v>520247.23000000004</v>
      </c>
      <c r="C59" s="6"/>
      <c r="D59" s="6"/>
    </row>
    <row r="60" spans="1:4">
      <c r="A60" s="6" t="s">
        <v>40</v>
      </c>
      <c r="B60" s="7">
        <f>B55+B59-B54</f>
        <v>-114250.15854081005</v>
      </c>
      <c r="C60" s="6"/>
      <c r="D60" s="6"/>
    </row>
  </sheetData>
  <mergeCells count="8">
    <mergeCell ref="A39:D39"/>
    <mergeCell ref="A43:D43"/>
    <mergeCell ref="A10:D10"/>
    <mergeCell ref="A16:D16"/>
    <mergeCell ref="A23:D23"/>
    <mergeCell ref="A25:D25"/>
    <mergeCell ref="A32:D32"/>
    <mergeCell ref="A35:D35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59"/>
  <sheetViews>
    <sheetView workbookViewId="0">
      <selection activeCell="A58" sqref="A58"/>
    </sheetView>
  </sheetViews>
  <sheetFormatPr defaultRowHeight="15"/>
  <cols>
    <col min="1" max="1" width="38.28515625" customWidth="1"/>
    <col min="2" max="2" width="13.7109375" customWidth="1"/>
    <col min="3" max="3" width="14.85546875" customWidth="1"/>
    <col min="4" max="4" width="13.5703125" customWidth="1"/>
  </cols>
  <sheetData>
    <row r="1" spans="1:4">
      <c r="A1" s="9" t="s">
        <v>45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357.1</v>
      </c>
      <c r="C3" s="9"/>
      <c r="D3" s="9"/>
    </row>
    <row r="4" spans="1:4">
      <c r="A4" s="3" t="s">
        <v>80</v>
      </c>
      <c r="B4" s="3">
        <v>1958</v>
      </c>
      <c r="C4" s="9"/>
      <c r="D4" s="9"/>
    </row>
    <row r="5" spans="1:4">
      <c r="A5" s="3" t="s">
        <v>81</v>
      </c>
      <c r="B5" s="3">
        <v>2</v>
      </c>
      <c r="C5" s="9"/>
      <c r="D5" s="9"/>
    </row>
    <row r="6" spans="1:4">
      <c r="A6" s="3" t="s">
        <v>79</v>
      </c>
      <c r="B6" s="3">
        <v>12</v>
      </c>
      <c r="C6" s="9"/>
      <c r="D6" s="9"/>
    </row>
    <row r="7" spans="1:4">
      <c r="A7" s="3" t="s">
        <v>82</v>
      </c>
      <c r="B7" s="15">
        <v>12.45</v>
      </c>
      <c r="C7" s="9"/>
      <c r="D7" s="9"/>
    </row>
    <row r="8" spans="1:4" ht="38.25">
      <c r="A8" s="1" t="s">
        <v>0</v>
      </c>
      <c r="B8" s="2" t="s">
        <v>1</v>
      </c>
      <c r="C8" s="2" t="s">
        <v>2</v>
      </c>
      <c r="D8" s="14" t="s">
        <v>46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>
        <f>3*22+2*15+1*82.83+95</f>
        <v>273.83</v>
      </c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960770.17*0.64/43531.5*357.1</f>
        <v>5044.1233987452779</v>
      </c>
      <c r="C13" s="3"/>
      <c r="D13" s="3"/>
    </row>
    <row r="14" spans="1:4">
      <c r="A14" s="3" t="s">
        <v>7</v>
      </c>
      <c r="B14" s="5">
        <f>B13*0.302</f>
        <v>1523.3252664210738</v>
      </c>
      <c r="C14" s="3"/>
      <c r="D14" s="3"/>
    </row>
    <row r="15" spans="1:4">
      <c r="A15" s="6" t="s">
        <v>8</v>
      </c>
      <c r="B15" s="7">
        <f>SUM(B11:B14)</f>
        <v>6841.2786651663519</v>
      </c>
      <c r="C15" s="7">
        <f>B15/357.1</f>
        <v>19.157879207970741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>
        <f>1*11+54</f>
        <v>65</v>
      </c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204766*0.64/43531.5*357.1</f>
        <v>1075.038551485706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324.66164254868318</v>
      </c>
      <c r="C21" s="3"/>
      <c r="D21" s="5"/>
    </row>
    <row r="22" spans="1:4">
      <c r="A22" s="6" t="s">
        <v>8</v>
      </c>
      <c r="B22" s="7">
        <f>SUM(B17:B21)</f>
        <v>1464.7001940343891</v>
      </c>
      <c r="C22" s="7">
        <f>B22/357.1</f>
        <v>4.1016527416252844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189083.2/43531.5*357.1</f>
        <v>1551.0977273928079</v>
      </c>
      <c r="C24" s="7">
        <f>B24/357.1</f>
        <v>4.3435948680840317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/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404239.93*0.64/43531.5*357.1</f>
        <v>2122.2932947846966</v>
      </c>
      <c r="C28" s="3"/>
      <c r="D28" s="5"/>
    </row>
    <row r="29" spans="1:4">
      <c r="A29" s="3" t="s">
        <v>15</v>
      </c>
      <c r="B29" s="5">
        <f>(134253+40544.4+265003.7+7080*12+356.81*7+15000)/43531.5*357.1</f>
        <v>4448.2870281750002</v>
      </c>
      <c r="C29" s="3"/>
      <c r="D29" s="3"/>
    </row>
    <row r="30" spans="1:4">
      <c r="A30" s="3" t="s">
        <v>7</v>
      </c>
      <c r="B30" s="5">
        <f>B28*0.302</f>
        <v>640.93257502497841</v>
      </c>
      <c r="C30" s="3"/>
      <c r="D30" s="5"/>
    </row>
    <row r="31" spans="1:4">
      <c r="A31" s="6" t="s">
        <v>8</v>
      </c>
      <c r="B31" s="7">
        <f>SUM(B26:B30)</f>
        <v>7211.512897984675</v>
      </c>
      <c r="C31" s="7">
        <f>B31/357.1</f>
        <v>20.194659473493907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49104.78/43531.5*357.1</f>
        <v>402.81903766238241</v>
      </c>
      <c r="C33" s="3"/>
      <c r="D33" s="5"/>
    </row>
    <row r="34" spans="1:4">
      <c r="A34" s="6" t="s">
        <v>8</v>
      </c>
      <c r="B34" s="7">
        <f>SUM(B33:B33)</f>
        <v>402.81903766238241</v>
      </c>
      <c r="C34" s="7">
        <f>B34/357.1</f>
        <v>1.1280286688949381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373535.28/43531.5*357.1</f>
        <v>3064.2051959615455</v>
      </c>
      <c r="C36" s="3"/>
      <c r="D36" s="5"/>
    </row>
    <row r="37" spans="1:4">
      <c r="A37" s="3" t="s">
        <v>20</v>
      </c>
      <c r="B37" s="5">
        <f>(26500+12150+8250+1040)/43531.5*357.1</f>
        <v>393.26405017056618</v>
      </c>
      <c r="C37" s="3"/>
      <c r="D37" s="5"/>
    </row>
    <row r="38" spans="1:4">
      <c r="A38" s="6" t="s">
        <v>8</v>
      </c>
      <c r="B38" s="7">
        <f>SUM(B36:B37)</f>
        <v>3457.4692461321119</v>
      </c>
      <c r="C38" s="7">
        <f>B38/357.1</f>
        <v>9.6820757382585043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5">
        <v>13641</v>
      </c>
      <c r="C40" s="3"/>
      <c r="D40" s="5"/>
    </row>
    <row r="41" spans="1:4" ht="26.25">
      <c r="A41" s="8" t="s">
        <v>22</v>
      </c>
      <c r="B41" s="5">
        <v>13075.95</v>
      </c>
      <c r="C41" s="3"/>
      <c r="D41" s="5"/>
    </row>
    <row r="42" spans="1:4">
      <c r="A42" s="6" t="s">
        <v>8</v>
      </c>
      <c r="B42" s="7">
        <f>SUM(B40:B41)</f>
        <v>26716.95</v>
      </c>
      <c r="C42" s="7">
        <f>B42/357.1</f>
        <v>74.816437972556699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1524587/43531.5*357.1</f>
        <v>12506.576104659844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3776.9859836072728</v>
      </c>
      <c r="C47" s="3"/>
      <c r="D47" s="5"/>
    </row>
    <row r="48" spans="1:4">
      <c r="A48" s="3" t="s">
        <v>25</v>
      </c>
      <c r="B48" s="5">
        <f>(26463.66+29574)/43531.5*357.1</f>
        <v>459.69122097791262</v>
      </c>
      <c r="C48" s="3"/>
      <c r="D48" s="5"/>
    </row>
    <row r="49" spans="1:4">
      <c r="A49" s="3" t="s">
        <v>26</v>
      </c>
      <c r="B49" s="5"/>
      <c r="C49" s="3"/>
      <c r="D49" s="5"/>
    </row>
    <row r="50" spans="1:4" ht="26.25">
      <c r="A50" s="8" t="s">
        <v>27</v>
      </c>
      <c r="B50" s="5">
        <f>10238.68/43531.5*357.1</f>
        <v>83.990504071764136</v>
      </c>
      <c r="C50" s="3"/>
      <c r="D50" s="5"/>
    </row>
    <row r="51" spans="1:4">
      <c r="A51" s="3" t="s">
        <v>28</v>
      </c>
      <c r="B51" s="5">
        <f>36364/43531.5*357.1</f>
        <v>298.30316896959675</v>
      </c>
      <c r="C51" s="3"/>
      <c r="D51" s="5"/>
    </row>
    <row r="52" spans="1:4">
      <c r="A52" s="3" t="s">
        <v>29</v>
      </c>
      <c r="B52" s="5"/>
      <c r="C52" s="3"/>
      <c r="D52" s="3"/>
    </row>
    <row r="53" spans="1:4">
      <c r="A53" s="6" t="s">
        <v>8</v>
      </c>
      <c r="B53" s="7">
        <f>SUM(B44:B52)</f>
        <v>17125.546982286389</v>
      </c>
      <c r="C53" s="7">
        <f>B53/357.1</f>
        <v>47.95728642477286</v>
      </c>
      <c r="D53" s="6"/>
    </row>
    <row r="54" spans="1:4">
      <c r="A54" s="3"/>
      <c r="B54" s="3"/>
      <c r="C54" s="3"/>
      <c r="D54" s="3"/>
    </row>
    <row r="55" spans="1:4">
      <c r="A55" s="6" t="s">
        <v>30</v>
      </c>
      <c r="B55" s="7">
        <f>B15+B22+B24+B31+B34+B38+B42+B53</f>
        <v>64771.37475065911</v>
      </c>
      <c r="C55" s="7">
        <f>C15+C22+C24+C31+C34+C38+C42+C53</f>
        <v>181.38161509565697</v>
      </c>
      <c r="D55" s="6"/>
    </row>
    <row r="56" spans="1:4">
      <c r="A56" s="3" t="s">
        <v>31</v>
      </c>
      <c r="B56" s="3">
        <v>-7380.87</v>
      </c>
      <c r="C56" s="3"/>
      <c r="D56" s="3"/>
    </row>
    <row r="57" spans="1:4">
      <c r="A57" s="3" t="s">
        <v>32</v>
      </c>
      <c r="B57" s="3">
        <v>49665.599999999999</v>
      </c>
      <c r="C57" s="3"/>
      <c r="D57" s="3"/>
    </row>
    <row r="58" spans="1:4">
      <c r="A58" s="6" t="s">
        <v>112</v>
      </c>
      <c r="B58" s="6">
        <v>38810.080000000002</v>
      </c>
      <c r="C58" s="6"/>
      <c r="D58" s="6"/>
    </row>
    <row r="59" spans="1:4">
      <c r="A59" s="6" t="s">
        <v>40</v>
      </c>
      <c r="B59" s="7">
        <f>B56+B58-B55</f>
        <v>-33342.164750659111</v>
      </c>
      <c r="C59" s="6"/>
      <c r="D59" s="6"/>
    </row>
  </sheetData>
  <mergeCells count="8">
    <mergeCell ref="A39:D39"/>
    <mergeCell ref="A43:D43"/>
    <mergeCell ref="A10:D10"/>
    <mergeCell ref="A16:D16"/>
    <mergeCell ref="A23:D23"/>
    <mergeCell ref="A25:D25"/>
    <mergeCell ref="A32:D32"/>
    <mergeCell ref="A35:D35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59"/>
  <sheetViews>
    <sheetView workbookViewId="0">
      <selection activeCell="A58" sqref="A58"/>
    </sheetView>
  </sheetViews>
  <sheetFormatPr defaultRowHeight="15"/>
  <cols>
    <col min="1" max="1" width="38" customWidth="1"/>
    <col min="2" max="2" width="13.7109375" customWidth="1"/>
    <col min="3" max="3" width="14.85546875" customWidth="1"/>
    <col min="4" max="4" width="13.5703125" customWidth="1"/>
  </cols>
  <sheetData>
    <row r="1" spans="1:4">
      <c r="A1" s="9" t="s">
        <v>49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361.4</v>
      </c>
      <c r="C3" s="9"/>
      <c r="D3" s="9"/>
    </row>
    <row r="4" spans="1:4">
      <c r="A4" s="3" t="s">
        <v>80</v>
      </c>
      <c r="B4" s="3">
        <v>1975</v>
      </c>
      <c r="C4" s="9"/>
      <c r="D4" s="9"/>
    </row>
    <row r="5" spans="1:4">
      <c r="A5" s="3" t="s">
        <v>81</v>
      </c>
      <c r="B5" s="3">
        <v>2</v>
      </c>
      <c r="C5" s="9"/>
      <c r="D5" s="9"/>
    </row>
    <row r="6" spans="1:4">
      <c r="A6" s="3" t="s">
        <v>79</v>
      </c>
      <c r="B6" s="3">
        <v>16</v>
      </c>
      <c r="C6" s="9"/>
      <c r="D6" s="9"/>
    </row>
    <row r="7" spans="1:4">
      <c r="A7" s="3" t="s">
        <v>82</v>
      </c>
      <c r="B7" s="15">
        <v>13.63</v>
      </c>
      <c r="C7" s="9"/>
      <c r="D7" s="9"/>
    </row>
    <row r="8" spans="1:4" ht="38.25">
      <c r="A8" s="1" t="s">
        <v>0</v>
      </c>
      <c r="B8" s="2" t="s">
        <v>1</v>
      </c>
      <c r="C8" s="2" t="s">
        <v>2</v>
      </c>
      <c r="D8" s="13" t="s">
        <v>50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>
        <v>0</v>
      </c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960770.17*0.64/43531.5*361.4</f>
        <v>5104.8619330902911</v>
      </c>
      <c r="C13" s="3"/>
      <c r="D13" s="3"/>
    </row>
    <row r="14" spans="1:4">
      <c r="A14" s="3" t="s">
        <v>7</v>
      </c>
      <c r="B14" s="5">
        <f>B13*0.302</f>
        <v>1541.6683037932678</v>
      </c>
      <c r="C14" s="3"/>
      <c r="D14" s="3"/>
    </row>
    <row r="15" spans="1:4">
      <c r="A15" s="6" t="s">
        <v>8</v>
      </c>
      <c r="B15" s="7">
        <f>SUM(B11:B14)</f>
        <v>6646.5302368835592</v>
      </c>
      <c r="C15" s="7">
        <f>B15/361.4</f>
        <v>18.391063190048587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>
        <v>11</v>
      </c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204766*0.64/43531.5*361.4</f>
        <v>1087.9835690477012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328.57103785240577</v>
      </c>
      <c r="C21" s="3"/>
      <c r="D21" s="5"/>
    </row>
    <row r="22" spans="1:4">
      <c r="A22" s="6" t="s">
        <v>8</v>
      </c>
      <c r="B22" s="7">
        <f>SUM(B17:B21)</f>
        <v>1427.554606900107</v>
      </c>
      <c r="C22" s="7">
        <f>B22/361.4</f>
        <v>3.9500680877147403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189083.2/43531.5*361.4</f>
        <v>1569.7751853255691</v>
      </c>
      <c r="C24" s="7">
        <f>B24/361.4</f>
        <v>4.3435948680840317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/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404239.93*0.64/43531.5*361.4</f>
        <v>2147.8487727112552</v>
      </c>
      <c r="C28" s="3"/>
      <c r="D28" s="5"/>
    </row>
    <row r="29" spans="1:4">
      <c r="A29" s="3" t="s">
        <v>15</v>
      </c>
      <c r="B29" s="5">
        <f>(134253+40544.4+265003.7+7080*12+356.81*7+15000)/43531.5*361.4</f>
        <v>4501.8508316506441</v>
      </c>
      <c r="C29" s="3"/>
      <c r="D29" s="3"/>
    </row>
    <row r="30" spans="1:4">
      <c r="A30" s="3" t="s">
        <v>7</v>
      </c>
      <c r="B30" s="5">
        <f>B28*0.302</f>
        <v>648.65032935879901</v>
      </c>
      <c r="C30" s="3"/>
      <c r="D30" s="5"/>
    </row>
    <row r="31" spans="1:4">
      <c r="A31" s="6" t="s">
        <v>8</v>
      </c>
      <c r="B31" s="7">
        <f>SUM(B26:B30)</f>
        <v>7298.3499337206986</v>
      </c>
      <c r="C31" s="7">
        <f>B31/361.4</f>
        <v>20.19465947349391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49104.78/43531.5*361.4</f>
        <v>407.66956093863064</v>
      </c>
      <c r="C33" s="3"/>
      <c r="D33" s="5"/>
    </row>
    <row r="34" spans="1:4">
      <c r="A34" s="6" t="s">
        <v>8</v>
      </c>
      <c r="B34" s="7">
        <f>SUM(B33:B33)</f>
        <v>407.66956093863064</v>
      </c>
      <c r="C34" s="7">
        <f>B34/361.4</f>
        <v>1.1280286688949381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373535.28/43531.5*361.4</f>
        <v>3101.1026542159125</v>
      </c>
      <c r="C36" s="3"/>
      <c r="D36" s="5"/>
    </row>
    <row r="37" spans="1:4">
      <c r="A37" s="3" t="s">
        <v>20</v>
      </c>
      <c r="B37" s="5">
        <f>(26500+12150+8250+1040)/43531.5*361.4</f>
        <v>397.99951759071013</v>
      </c>
      <c r="C37" s="3"/>
      <c r="D37" s="5"/>
    </row>
    <row r="38" spans="1:4">
      <c r="A38" s="6" t="s">
        <v>8</v>
      </c>
      <c r="B38" s="7">
        <f>SUM(B36:B37)</f>
        <v>3499.1021718066227</v>
      </c>
      <c r="C38" s="7">
        <f>B38/361.4</f>
        <v>9.6820757382585025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5">
        <v>7205</v>
      </c>
      <c r="C40" s="3"/>
      <c r="D40" s="5"/>
    </row>
    <row r="41" spans="1:4" ht="26.25">
      <c r="A41" s="8" t="s">
        <v>22</v>
      </c>
      <c r="B41" s="5">
        <v>13785.31</v>
      </c>
      <c r="C41" s="3"/>
      <c r="D41" s="5"/>
    </row>
    <row r="42" spans="1:4">
      <c r="A42" s="6" t="s">
        <v>8</v>
      </c>
      <c r="B42" s="7">
        <f>SUM(B40:B41)</f>
        <v>20990.309999999998</v>
      </c>
      <c r="C42" s="7">
        <f>B42/361.4</f>
        <v>58.080547869396788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1524587/43531.5*361.4</f>
        <v>12657.173352629703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3822.4663524941702</v>
      </c>
      <c r="C47" s="3"/>
      <c r="D47" s="5"/>
    </row>
    <row r="48" spans="1:4">
      <c r="A48" s="3" t="s">
        <v>25</v>
      </c>
      <c r="B48" s="5">
        <f>(26463.66+29574)/43531.5*361.4</f>
        <v>465.22656752007168</v>
      </c>
      <c r="C48" s="3"/>
      <c r="D48" s="5"/>
    </row>
    <row r="49" spans="1:4">
      <c r="A49" s="3" t="s">
        <v>26</v>
      </c>
      <c r="B49" s="5"/>
      <c r="C49" s="3"/>
      <c r="D49" s="5"/>
    </row>
    <row r="50" spans="1:4" ht="26.25">
      <c r="A50" s="8" t="s">
        <v>27</v>
      </c>
      <c r="B50" s="5">
        <f>10238.68/43531.5*361.4</f>
        <v>85.001871104832134</v>
      </c>
      <c r="C50" s="3"/>
      <c r="D50" s="5"/>
    </row>
    <row r="51" spans="1:4">
      <c r="A51" s="3" t="s">
        <v>28</v>
      </c>
      <c r="B51" s="5">
        <f>36364/43531.5*361.4</f>
        <v>301.89517016413402</v>
      </c>
      <c r="C51" s="3"/>
      <c r="D51" s="5"/>
    </row>
    <row r="52" spans="1:4">
      <c r="A52" s="3" t="s">
        <v>29</v>
      </c>
      <c r="B52" s="5"/>
      <c r="C52" s="3"/>
      <c r="D52" s="3"/>
    </row>
    <row r="53" spans="1:4">
      <c r="A53" s="6" t="s">
        <v>8</v>
      </c>
      <c r="B53" s="7">
        <f>SUM(B44:B52)</f>
        <v>17331.763313912914</v>
      </c>
      <c r="C53" s="7">
        <f>B53/361.4</f>
        <v>47.957286424772867</v>
      </c>
      <c r="D53" s="6"/>
    </row>
    <row r="54" spans="1:4">
      <c r="A54" s="3"/>
      <c r="B54" s="3"/>
      <c r="C54" s="3"/>
      <c r="D54" s="3"/>
    </row>
    <row r="55" spans="1:4">
      <c r="A55" s="6" t="s">
        <v>30</v>
      </c>
      <c r="B55" s="7">
        <f>B15+B22+B24+B31+B34+B38+B42+B53</f>
        <v>59171.055009488104</v>
      </c>
      <c r="C55" s="7">
        <f>C15+C22+C24+C31+C34+C38+C42+C53</f>
        <v>163.72732432066437</v>
      </c>
      <c r="D55" s="6"/>
    </row>
    <row r="56" spans="1:4">
      <c r="A56" s="3" t="s">
        <v>31</v>
      </c>
      <c r="B56" s="3">
        <v>-27312.13</v>
      </c>
      <c r="C56" s="3"/>
      <c r="D56" s="3"/>
    </row>
    <row r="57" spans="1:4">
      <c r="A57" s="3" t="s">
        <v>32</v>
      </c>
      <c r="B57" s="3">
        <v>59110.68</v>
      </c>
      <c r="C57" s="3"/>
      <c r="D57" s="3"/>
    </row>
    <row r="58" spans="1:4">
      <c r="A58" s="6" t="s">
        <v>99</v>
      </c>
      <c r="B58" s="6">
        <v>52661.64</v>
      </c>
      <c r="C58" s="6"/>
      <c r="D58" s="6"/>
    </row>
    <row r="59" spans="1:4">
      <c r="A59" s="6" t="s">
        <v>40</v>
      </c>
      <c r="B59" s="7">
        <f>B56+B58-B55</f>
        <v>-33821.545009488109</v>
      </c>
      <c r="C59" s="6"/>
      <c r="D59" s="6"/>
    </row>
  </sheetData>
  <mergeCells count="8">
    <mergeCell ref="A43:D43"/>
    <mergeCell ref="A10:D10"/>
    <mergeCell ref="A16:D16"/>
    <mergeCell ref="A23:D23"/>
    <mergeCell ref="A25:D25"/>
    <mergeCell ref="A32:D32"/>
    <mergeCell ref="A35:D35"/>
    <mergeCell ref="A39:D39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59"/>
  <sheetViews>
    <sheetView topLeftCell="A43" workbookViewId="0">
      <selection activeCell="A58" sqref="A58"/>
    </sheetView>
  </sheetViews>
  <sheetFormatPr defaultRowHeight="15"/>
  <cols>
    <col min="1" max="1" width="38.140625" customWidth="1"/>
    <col min="2" max="2" width="13.7109375" customWidth="1"/>
    <col min="3" max="3" width="14.85546875" customWidth="1"/>
    <col min="4" max="4" width="13.5703125" customWidth="1"/>
  </cols>
  <sheetData>
    <row r="1" spans="1:4">
      <c r="A1" s="9" t="s">
        <v>51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895.9</v>
      </c>
      <c r="C3" s="9"/>
      <c r="D3" s="9"/>
    </row>
    <row r="4" spans="1:4">
      <c r="A4" s="3" t="s">
        <v>80</v>
      </c>
      <c r="B4" s="3">
        <v>1974</v>
      </c>
      <c r="C4" s="9"/>
      <c r="D4" s="9"/>
    </row>
    <row r="5" spans="1:4">
      <c r="A5" s="3" t="s">
        <v>81</v>
      </c>
      <c r="B5" s="3">
        <v>2</v>
      </c>
      <c r="C5" s="9"/>
      <c r="D5" s="9"/>
    </row>
    <row r="6" spans="1:4">
      <c r="A6" s="3" t="s">
        <v>79</v>
      </c>
      <c r="B6" s="3">
        <v>43</v>
      </c>
      <c r="C6" s="9"/>
      <c r="D6" s="9"/>
    </row>
    <row r="7" spans="1:4">
      <c r="A7" s="3" t="s">
        <v>82</v>
      </c>
      <c r="B7" s="5">
        <v>13.63</v>
      </c>
      <c r="C7" s="9"/>
      <c r="D7" s="9"/>
    </row>
    <row r="8" spans="1:4" ht="38.25">
      <c r="A8" s="1" t="s">
        <v>0</v>
      </c>
      <c r="B8" s="2" t="s">
        <v>1</v>
      </c>
      <c r="C8" s="2" t="s">
        <v>2</v>
      </c>
      <c r="D8" s="14" t="s">
        <v>52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>
        <f>1*22+1*79</f>
        <v>101</v>
      </c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960770.17*0.64/43531.5*895.9</f>
        <v>12654.803004581052</v>
      </c>
      <c r="C13" s="3"/>
      <c r="D13" s="3"/>
    </row>
    <row r="14" spans="1:4">
      <c r="A14" s="3" t="s">
        <v>7</v>
      </c>
      <c r="B14" s="5">
        <f>B13*0.302</f>
        <v>3821.7505073834777</v>
      </c>
      <c r="C14" s="3"/>
      <c r="D14" s="3"/>
    </row>
    <row r="15" spans="1:4">
      <c r="A15" s="6" t="s">
        <v>8</v>
      </c>
      <c r="B15" s="7">
        <f>SUM(B11:B14)</f>
        <v>16577.553511964528</v>
      </c>
      <c r="C15" s="7">
        <f>B15/895.9</f>
        <v>18.503798986454434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>
        <f>12*11+99</f>
        <v>231</v>
      </c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204766*0.64/43531.5*895.9</f>
        <v>2697.0793566957263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814.51796572210935</v>
      </c>
      <c r="C21" s="3"/>
      <c r="D21" s="5"/>
    </row>
    <row r="22" spans="1:4">
      <c r="A22" s="6" t="s">
        <v>8</v>
      </c>
      <c r="B22" s="7">
        <f>SUM(B17:B21)</f>
        <v>3742.5973224178356</v>
      </c>
      <c r="C22" s="7">
        <f>B22/895.9</f>
        <v>4.1774721759323983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189083.2/43531.5*895.9</f>
        <v>3891.426642316484</v>
      </c>
      <c r="C24" s="7">
        <f>B24/895.9</f>
        <v>4.3435948680840317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/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404239.93*0.64/43531.5*895.9</f>
        <v>5324.4541103265456</v>
      </c>
      <c r="C28" s="3"/>
      <c r="D28" s="5"/>
    </row>
    <row r="29" spans="1:4">
      <c r="A29" s="3" t="s">
        <v>15</v>
      </c>
      <c r="B29" s="5">
        <f>(134253+40544.4+265003.7+7080*12+356.81*7+15000)/43531.5*895.9</f>
        <v>11159.95617065803</v>
      </c>
      <c r="C29" s="3"/>
      <c r="D29" s="3"/>
    </row>
    <row r="30" spans="1:4">
      <c r="A30" s="3" t="s">
        <v>7</v>
      </c>
      <c r="B30" s="5">
        <f>B28*0.302</f>
        <v>1607.9851413186168</v>
      </c>
      <c r="C30" s="3"/>
      <c r="D30" s="5"/>
    </row>
    <row r="31" spans="1:4">
      <c r="A31" s="6" t="s">
        <v>8</v>
      </c>
      <c r="B31" s="7">
        <f>SUM(B26:B30)</f>
        <v>18092.395422303191</v>
      </c>
      <c r="C31" s="7">
        <f>B31/895.9</f>
        <v>20.194659473493907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49104.78/43531.5*895.9</f>
        <v>1010.600884462975</v>
      </c>
      <c r="C33" s="3"/>
      <c r="D33" s="5"/>
    </row>
    <row r="34" spans="1:4">
      <c r="A34" s="6" t="s">
        <v>8</v>
      </c>
      <c r="B34" s="7">
        <f>SUM(B33:B33)</f>
        <v>1010.600884462975</v>
      </c>
      <c r="C34" s="7">
        <f>B34/895.9</f>
        <v>1.1280286688949381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373535.28/43531.5*895.9</f>
        <v>7687.5425232762482</v>
      </c>
      <c r="C36" s="3"/>
      <c r="D36" s="5"/>
    </row>
    <row r="37" spans="1:4">
      <c r="A37" s="3" t="s">
        <v>20</v>
      </c>
      <c r="B37" s="5">
        <f>(26500+12150+8250+1040)/43531.5*895.9</f>
        <v>986.62913062954408</v>
      </c>
      <c r="C37" s="3"/>
      <c r="D37" s="5"/>
    </row>
    <row r="38" spans="1:4">
      <c r="A38" s="6" t="s">
        <v>8</v>
      </c>
      <c r="B38" s="7">
        <f>SUM(B36:B37)</f>
        <v>8674.1716539057925</v>
      </c>
      <c r="C38" s="7">
        <f>B38/895.9</f>
        <v>9.6820757382585025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5">
        <v>136077</v>
      </c>
      <c r="C40" s="3"/>
      <c r="D40" s="5"/>
    </row>
    <row r="41" spans="1:4" ht="26.25">
      <c r="A41" s="8" t="s">
        <v>22</v>
      </c>
      <c r="B41" s="5">
        <v>16382.84</v>
      </c>
      <c r="C41" s="3"/>
      <c r="D41" s="5"/>
    </row>
    <row r="42" spans="1:4">
      <c r="A42" s="6" t="s">
        <v>8</v>
      </c>
      <c r="B42" s="7">
        <f>SUM(B40:B41)</f>
        <v>152459.84</v>
      </c>
      <c r="C42" s="7">
        <f>B42/895.9</f>
        <v>170.17506418127024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1524587/43531.5*895.9</f>
        <v>31376.761501441481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9475.781973435327</v>
      </c>
      <c r="C47" s="3"/>
      <c r="D47" s="5"/>
    </row>
    <row r="48" spans="1:4">
      <c r="A48" s="3" t="s">
        <v>25</v>
      </c>
      <c r="B48" s="5">
        <f>(26463.66+29574)/43531.5*895.9</f>
        <v>1153.2830156093864</v>
      </c>
      <c r="C48" s="3"/>
      <c r="D48" s="5"/>
    </row>
    <row r="49" spans="1:4">
      <c r="A49" s="3" t="s">
        <v>26</v>
      </c>
      <c r="B49" s="5"/>
      <c r="C49" s="3"/>
      <c r="D49" s="5"/>
    </row>
    <row r="50" spans="1:4" ht="26.25">
      <c r="A50" s="8" t="s">
        <v>27</v>
      </c>
      <c r="B50" s="5">
        <f>10238.68/43531.5*895.9</f>
        <v>210.71714533154153</v>
      </c>
      <c r="C50" s="3"/>
      <c r="D50" s="5"/>
    </row>
    <row r="51" spans="1:4">
      <c r="A51" s="3" t="s">
        <v>28</v>
      </c>
      <c r="B51" s="5">
        <f>36364/43531.5*895.9</f>
        <v>748.38927213626914</v>
      </c>
      <c r="C51" s="3"/>
      <c r="D51" s="5"/>
    </row>
    <row r="52" spans="1:4">
      <c r="A52" s="3" t="s">
        <v>29</v>
      </c>
      <c r="B52" s="5"/>
      <c r="C52" s="3"/>
      <c r="D52" s="3"/>
    </row>
    <row r="53" spans="1:4">
      <c r="A53" s="6" t="s">
        <v>8</v>
      </c>
      <c r="B53" s="7">
        <f>SUM(B44:B52)</f>
        <v>42964.932907954004</v>
      </c>
      <c r="C53" s="7">
        <f>B53/895.9</f>
        <v>47.95728642477286</v>
      </c>
      <c r="D53" s="6"/>
    </row>
    <row r="54" spans="1:4">
      <c r="A54" s="3"/>
      <c r="B54" s="3"/>
      <c r="C54" s="3"/>
      <c r="D54" s="3"/>
    </row>
    <row r="55" spans="1:4">
      <c r="A55" s="6" t="s">
        <v>30</v>
      </c>
      <c r="B55" s="7">
        <f>B15+B22+B24+B31+B34+B38+B42+B53</f>
        <v>247413.51834532482</v>
      </c>
      <c r="C55" s="7">
        <f>C15+C22+C24+C31+C34+C38+C42+C53</f>
        <v>276.16198051716134</v>
      </c>
      <c r="D55" s="6"/>
    </row>
    <row r="56" spans="1:4">
      <c r="A56" s="3" t="s">
        <v>31</v>
      </c>
      <c r="B56" s="3">
        <v>-5265.04</v>
      </c>
      <c r="C56" s="3"/>
      <c r="D56" s="3"/>
    </row>
    <row r="57" spans="1:4">
      <c r="A57" s="3" t="s">
        <v>32</v>
      </c>
      <c r="B57" s="3">
        <v>146533.44</v>
      </c>
      <c r="C57" s="3"/>
      <c r="D57" s="3"/>
    </row>
    <row r="58" spans="1:4">
      <c r="A58" s="6" t="s">
        <v>99</v>
      </c>
      <c r="B58" s="6">
        <v>130731.03</v>
      </c>
      <c r="C58" s="6"/>
      <c r="D58" s="6"/>
    </row>
    <row r="59" spans="1:4">
      <c r="A59" s="6" t="s">
        <v>40</v>
      </c>
      <c r="B59" s="7">
        <f>B56+B58-B55</f>
        <v>-121947.52834532481</v>
      </c>
      <c r="C59" s="6"/>
      <c r="D59" s="6"/>
    </row>
  </sheetData>
  <mergeCells count="8">
    <mergeCell ref="A43:D43"/>
    <mergeCell ref="A10:D10"/>
    <mergeCell ref="A16:D16"/>
    <mergeCell ref="A23:D23"/>
    <mergeCell ref="A25:D25"/>
    <mergeCell ref="A32:D32"/>
    <mergeCell ref="A35:D35"/>
    <mergeCell ref="A39:D39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61"/>
  <sheetViews>
    <sheetView topLeftCell="A10" workbookViewId="0">
      <selection activeCell="A60" sqref="A60"/>
    </sheetView>
  </sheetViews>
  <sheetFormatPr defaultRowHeight="15"/>
  <cols>
    <col min="1" max="1" width="41.5703125" customWidth="1"/>
    <col min="2" max="2" width="16.140625" customWidth="1"/>
    <col min="3" max="3" width="14.140625" customWidth="1"/>
    <col min="4" max="4" width="13.5703125" customWidth="1"/>
  </cols>
  <sheetData>
    <row r="1" spans="1:4">
      <c r="A1" s="9" t="s">
        <v>47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1948.8</v>
      </c>
      <c r="C3" s="9"/>
      <c r="D3" s="9"/>
    </row>
    <row r="4" spans="1:4">
      <c r="A4" s="3" t="s">
        <v>80</v>
      </c>
      <c r="B4" s="3">
        <v>1975</v>
      </c>
      <c r="C4" s="9"/>
      <c r="D4" s="9"/>
    </row>
    <row r="5" spans="1:4">
      <c r="A5" s="3" t="s">
        <v>81</v>
      </c>
      <c r="B5" s="3">
        <v>4</v>
      </c>
      <c r="C5" s="9"/>
      <c r="D5" s="9"/>
    </row>
    <row r="6" spans="1:4">
      <c r="A6" s="3" t="s">
        <v>79</v>
      </c>
      <c r="B6" s="3">
        <v>70</v>
      </c>
      <c r="C6" s="9"/>
      <c r="D6" s="9"/>
    </row>
    <row r="7" spans="1:4">
      <c r="A7" s="3" t="s">
        <v>82</v>
      </c>
      <c r="B7" s="5">
        <v>15</v>
      </c>
      <c r="C7" s="9"/>
      <c r="D7" s="9"/>
    </row>
    <row r="8" spans="1:4" ht="38.25">
      <c r="A8" s="1" t="s">
        <v>0</v>
      </c>
      <c r="B8" s="2" t="s">
        <v>1</v>
      </c>
      <c r="C8" s="2" t="s">
        <v>2</v>
      </c>
      <c r="D8" s="13" t="s">
        <v>48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>
        <v>120</v>
      </c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960770.17*0.64/43531.5*1948.8</f>
        <v>27527.268774782402</v>
      </c>
      <c r="C13" s="3"/>
      <c r="D13" s="3"/>
    </row>
    <row r="14" spans="1:4">
      <c r="A14" s="3" t="s">
        <v>7</v>
      </c>
      <c r="B14" s="5">
        <f>B13*0.302</f>
        <v>8313.2351699842857</v>
      </c>
      <c r="C14" s="3"/>
      <c r="D14" s="3"/>
    </row>
    <row r="15" spans="1:4">
      <c r="A15" s="6" t="s">
        <v>8</v>
      </c>
      <c r="B15" s="7">
        <f>SUM(B11:B14)</f>
        <v>35960.503944766686</v>
      </c>
      <c r="C15" s="7">
        <f>B15/1948.8</f>
        <v>18.452639544728392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>
        <v>77</v>
      </c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204766*0.64/43531.5*1948.8</f>
        <v>5866.8023778643055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1771.7743181150202</v>
      </c>
      <c r="C21" s="3"/>
      <c r="D21" s="5"/>
    </row>
    <row r="22" spans="1:4">
      <c r="A22" s="6" t="s">
        <v>8</v>
      </c>
      <c r="B22" s="7">
        <f>SUM(B17:B21)</f>
        <v>7715.5766959793255</v>
      </c>
      <c r="C22" s="7">
        <f>B22/1948.8</f>
        <v>3.9591423932570433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189083.2/43531.5*1948.8</f>
        <v>8464.7976789221611</v>
      </c>
      <c r="C24" s="7">
        <f>B24/1948.8</f>
        <v>4.3435948680840317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/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404239.93*0.7/43531.5*1948.8</f>
        <v>12667.790976851245</v>
      </c>
      <c r="C28" s="3"/>
      <c r="D28" s="5"/>
    </row>
    <row r="29" spans="1:4">
      <c r="A29" s="3" t="s">
        <v>15</v>
      </c>
      <c r="B29" s="5">
        <f>(134253+40544.4+265003.7+7080*12+356.81*7+15000)/43531.5*1948.8</f>
        <v>24275.614003101204</v>
      </c>
      <c r="C29" s="3"/>
      <c r="D29" s="3"/>
    </row>
    <row r="30" spans="1:4">
      <c r="A30" s="3" t="s">
        <v>7</v>
      </c>
      <c r="B30" s="5">
        <f>B28*0.302</f>
        <v>3825.6728750090761</v>
      </c>
      <c r="C30" s="3"/>
      <c r="D30" s="5"/>
    </row>
    <row r="31" spans="1:4">
      <c r="A31" s="6" t="s">
        <v>8</v>
      </c>
      <c r="B31" s="7">
        <f>SUM(B26:B30)</f>
        <v>40769.077854961528</v>
      </c>
      <c r="C31" s="7">
        <f>B31/1948.8</f>
        <v>20.920093316380093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49104.78/43531.5*1948.8</f>
        <v>2198.3022699424555</v>
      </c>
      <c r="C33" s="3"/>
      <c r="D33" s="5"/>
    </row>
    <row r="34" spans="1:4">
      <c r="A34" s="6" t="s">
        <v>8</v>
      </c>
      <c r="B34" s="7">
        <f>SUM(B33:B33)</f>
        <v>2198.3022699424555</v>
      </c>
      <c r="C34" s="7">
        <f>B34/1948.8</f>
        <v>1.1280286688949381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373535.28/43531.5*1948.8</f>
        <v>16722.271313049172</v>
      </c>
      <c r="C36" s="3"/>
      <c r="D36" s="5"/>
    </row>
    <row r="37" spans="1:4">
      <c r="A37" s="3" t="s">
        <v>20</v>
      </c>
      <c r="B37" s="5">
        <f>(26500+12150+8250+1040)/43531.5*1948.8</f>
        <v>2146.157885668998</v>
      </c>
      <c r="C37" s="3"/>
      <c r="D37" s="5"/>
    </row>
    <row r="38" spans="1:4">
      <c r="A38" s="6" t="s">
        <v>8</v>
      </c>
      <c r="B38" s="7">
        <f>SUM(B36:B37)</f>
        <v>18868.429198718171</v>
      </c>
      <c r="C38" s="7">
        <f>B38/1948.8</f>
        <v>9.6820757382585043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10">
        <v>132572</v>
      </c>
      <c r="C40" s="3"/>
      <c r="D40" s="5"/>
    </row>
    <row r="41" spans="1:4" ht="26.25">
      <c r="A41" s="8" t="s">
        <v>22</v>
      </c>
      <c r="B41" s="5">
        <v>9979.48</v>
      </c>
      <c r="C41" s="3"/>
      <c r="D41" s="5"/>
    </row>
    <row r="42" spans="1:4">
      <c r="A42" s="6" t="s">
        <v>8</v>
      </c>
      <c r="B42" s="7">
        <f>SUM(B40:B41)</f>
        <v>142551.48000000001</v>
      </c>
      <c r="C42" s="7">
        <f>B42/1948.8</f>
        <v>73.148337438423653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1524587/43531.5*1948.8</f>
        <v>68252.073684573232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20612.126252741116</v>
      </c>
      <c r="C47" s="3"/>
      <c r="D47" s="5"/>
    </row>
    <row r="48" spans="1:4">
      <c r="A48" s="3" t="s">
        <v>25</v>
      </c>
      <c r="B48" s="5">
        <f>(26463.66+29574)/43531.5*1948.8</f>
        <v>2508.6705445022571</v>
      </c>
      <c r="C48" s="3"/>
      <c r="D48" s="5"/>
    </row>
    <row r="49" spans="1:4">
      <c r="A49" s="3" t="s">
        <v>26</v>
      </c>
      <c r="B49" s="5"/>
      <c r="C49" s="3"/>
      <c r="D49" s="5"/>
    </row>
    <row r="50" spans="1:4" ht="26.25">
      <c r="A50" s="8" t="s">
        <v>27</v>
      </c>
      <c r="B50" s="5">
        <f>10238.68/43531.5*1948.8</f>
        <v>458.36094745184522</v>
      </c>
      <c r="C50" s="3"/>
      <c r="D50" s="5"/>
    </row>
    <row r="51" spans="1:4">
      <c r="A51" s="3" t="s">
        <v>28</v>
      </c>
      <c r="B51" s="5">
        <f>36364/43531.5*1948.8</f>
        <v>1627.9283553288999</v>
      </c>
      <c r="C51" s="3"/>
      <c r="D51" s="5"/>
    </row>
    <row r="52" spans="1:4">
      <c r="A52" s="3" t="s">
        <v>29</v>
      </c>
      <c r="B52" s="5"/>
      <c r="C52" s="3"/>
      <c r="D52" s="3"/>
    </row>
    <row r="53" spans="1:4">
      <c r="A53" s="6" t="s">
        <v>8</v>
      </c>
      <c r="B53" s="7">
        <f>SUM(B44:B52)</f>
        <v>93459.159784597345</v>
      </c>
      <c r="C53" s="7">
        <f>B53/1948.8</f>
        <v>47.95728642477286</v>
      </c>
      <c r="D53" s="6"/>
    </row>
    <row r="54" spans="1:4">
      <c r="A54" s="3"/>
      <c r="B54" s="3"/>
      <c r="C54" s="3"/>
      <c r="D54" s="3"/>
    </row>
    <row r="55" spans="1:4">
      <c r="A55" s="6" t="s">
        <v>30</v>
      </c>
      <c r="B55" s="7">
        <f>B15+B22+B24+B31+B34+B38+B42+B53</f>
        <v>349987.32742788771</v>
      </c>
      <c r="C55" s="7">
        <f>C15+C22+C24+C31+C34+C38+C42+C53</f>
        <v>179.59119839279953</v>
      </c>
      <c r="D55" s="6"/>
    </row>
    <row r="56" spans="1:4">
      <c r="A56" s="3" t="s">
        <v>31</v>
      </c>
      <c r="B56" s="3">
        <v>-15345.94</v>
      </c>
      <c r="C56" s="3"/>
      <c r="D56" s="3"/>
    </row>
    <row r="57" spans="1:4">
      <c r="A57" s="3" t="s">
        <v>32</v>
      </c>
      <c r="B57" s="3">
        <v>350784</v>
      </c>
      <c r="C57" s="3"/>
      <c r="D57" s="3"/>
    </row>
    <row r="58" spans="1:4">
      <c r="A58" s="6" t="s">
        <v>90</v>
      </c>
      <c r="B58" s="6">
        <v>335470.65000000002</v>
      </c>
      <c r="C58" s="6"/>
      <c r="D58" s="6"/>
    </row>
    <row r="59" spans="1:4">
      <c r="A59" s="16" t="s">
        <v>91</v>
      </c>
      <c r="B59" s="3">
        <v>26296.42</v>
      </c>
      <c r="C59" s="6"/>
      <c r="D59" s="6"/>
    </row>
    <row r="60" spans="1:4">
      <c r="A60" s="16" t="s">
        <v>100</v>
      </c>
      <c r="B60" s="6">
        <f>B58+B59</f>
        <v>361767.07</v>
      </c>
      <c r="C60" s="6"/>
      <c r="D60" s="6"/>
    </row>
    <row r="61" spans="1:4">
      <c r="A61" s="6" t="s">
        <v>40</v>
      </c>
      <c r="B61" s="7">
        <f>B56+B60-B55</f>
        <v>-3566.1974278877024</v>
      </c>
      <c r="C61" s="6"/>
      <c r="D61" s="6"/>
    </row>
  </sheetData>
  <mergeCells count="8">
    <mergeCell ref="A39:D39"/>
    <mergeCell ref="A43:D43"/>
    <mergeCell ref="A10:D10"/>
    <mergeCell ref="A16:D16"/>
    <mergeCell ref="A23:D23"/>
    <mergeCell ref="A25:D25"/>
    <mergeCell ref="A32:D32"/>
    <mergeCell ref="A35:D35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59"/>
  <sheetViews>
    <sheetView topLeftCell="A43" workbookViewId="0">
      <selection activeCell="A58" sqref="A58"/>
    </sheetView>
  </sheetViews>
  <sheetFormatPr defaultRowHeight="15"/>
  <cols>
    <col min="1" max="1" width="38.5703125" customWidth="1"/>
    <col min="2" max="2" width="13.7109375" customWidth="1"/>
    <col min="3" max="3" width="14.85546875" customWidth="1"/>
    <col min="4" max="4" width="13.5703125" customWidth="1"/>
  </cols>
  <sheetData>
    <row r="1" spans="1:4">
      <c r="A1" s="9" t="s">
        <v>53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448.1</v>
      </c>
      <c r="C3" s="9"/>
      <c r="D3" s="9"/>
    </row>
    <row r="4" spans="1:4">
      <c r="A4" s="3" t="s">
        <v>80</v>
      </c>
      <c r="B4" s="3">
        <v>1968</v>
      </c>
      <c r="C4" s="9"/>
      <c r="D4" s="9"/>
    </row>
    <row r="5" spans="1:4">
      <c r="A5" s="3" t="s">
        <v>81</v>
      </c>
      <c r="B5" s="3">
        <v>2</v>
      </c>
      <c r="C5" s="9"/>
      <c r="D5" s="9"/>
    </row>
    <row r="6" spans="1:4">
      <c r="A6" s="3" t="s">
        <v>79</v>
      </c>
      <c r="B6" s="3">
        <v>19</v>
      </c>
      <c r="C6" s="9"/>
      <c r="D6" s="9"/>
    </row>
    <row r="7" spans="1:4">
      <c r="A7" s="3" t="s">
        <v>82</v>
      </c>
      <c r="B7" s="5">
        <v>15</v>
      </c>
      <c r="C7" s="9"/>
      <c r="D7" s="9"/>
    </row>
    <row r="8" spans="1:4" ht="38.25">
      <c r="A8" s="1" t="s">
        <v>0</v>
      </c>
      <c r="B8" s="2" t="s">
        <v>1</v>
      </c>
      <c r="C8" s="2" t="s">
        <v>2</v>
      </c>
      <c r="D8" s="14" t="s">
        <v>54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>
        <f>4*95</f>
        <v>380</v>
      </c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960770.17*0.64/43531.5*448.1</f>
        <v>6329.5202883723296</v>
      </c>
      <c r="C13" s="3"/>
      <c r="D13" s="3"/>
    </row>
    <row r="14" spans="1:4">
      <c r="A14" s="3" t="s">
        <v>7</v>
      </c>
      <c r="B14" s="5">
        <f>B13*0.302</f>
        <v>1911.5151270884435</v>
      </c>
      <c r="C14" s="3"/>
      <c r="D14" s="3"/>
    </row>
    <row r="15" spans="1:4">
      <c r="A15" s="6" t="s">
        <v>8</v>
      </c>
      <c r="B15" s="7">
        <f>SUM(B11:B14)</f>
        <v>8621.0354154607739</v>
      </c>
      <c r="C15" s="7">
        <f>B15/448.1</f>
        <v>19.23908818446948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>
        <f>4*11+10.5+71</f>
        <v>125.5</v>
      </c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204766*0.64/43531.5*448.1</f>
        <v>1348.9912487279328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407.39535711583568</v>
      </c>
      <c r="C21" s="3"/>
      <c r="D21" s="5"/>
    </row>
    <row r="22" spans="1:4">
      <c r="A22" s="6" t="s">
        <v>8</v>
      </c>
      <c r="B22" s="7">
        <f>SUM(B17:B21)</f>
        <v>1881.8866058437684</v>
      </c>
      <c r="C22" s="7">
        <f>B22/448.1</f>
        <v>4.1997023116352787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189083.2/43531.5*448.1</f>
        <v>1946.3648603884546</v>
      </c>
      <c r="C24" s="7">
        <f>B24/448.1</f>
        <v>4.3435948680840317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/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404239.93*0.64/43531.5*448.1</f>
        <v>2663.1185253235017</v>
      </c>
      <c r="C28" s="3"/>
      <c r="D28" s="5"/>
    </row>
    <row r="29" spans="1:4">
      <c r="A29" s="3" t="s">
        <v>15</v>
      </c>
      <c r="B29" s="5">
        <f>(134253+40544.4+265003.7+7080*12+356.81*7+15000)/43531.5*448.1</f>
        <v>5581.8465901014215</v>
      </c>
      <c r="C29" s="3"/>
      <c r="D29" s="3"/>
    </row>
    <row r="30" spans="1:4">
      <c r="A30" s="3" t="s">
        <v>7</v>
      </c>
      <c r="B30" s="5">
        <f>B28*0.302</f>
        <v>804.26179464769746</v>
      </c>
      <c r="C30" s="3"/>
      <c r="D30" s="5"/>
    </row>
    <row r="31" spans="1:4">
      <c r="A31" s="6" t="s">
        <v>8</v>
      </c>
      <c r="B31" s="7">
        <f>SUM(B26:B30)</f>
        <v>9049.2269100726189</v>
      </c>
      <c r="C31" s="7">
        <f>B31/448.1</f>
        <v>20.194659473493903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49104.78/43531.5*448.1</f>
        <v>505.46964653182181</v>
      </c>
      <c r="C33" s="3"/>
      <c r="D33" s="5"/>
    </row>
    <row r="34" spans="1:4">
      <c r="A34" s="6" t="s">
        <v>8</v>
      </c>
      <c r="B34" s="7">
        <f>SUM(B33:B33)</f>
        <v>505.46964653182181</v>
      </c>
      <c r="C34" s="7">
        <f>B34/448.1</f>
        <v>1.1280286688949381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373535.28/43531.5*448.1</f>
        <v>3845.0583822749049</v>
      </c>
      <c r="C36" s="3"/>
      <c r="D36" s="5"/>
    </row>
    <row r="37" spans="1:4">
      <c r="A37" s="3" t="s">
        <v>20</v>
      </c>
      <c r="B37" s="5">
        <f>(26500+12150+8250+1040)/43531.5*448.1</f>
        <v>493.47975603873061</v>
      </c>
      <c r="C37" s="3"/>
      <c r="D37" s="5"/>
    </row>
    <row r="38" spans="1:4">
      <c r="A38" s="6" t="s">
        <v>8</v>
      </c>
      <c r="B38" s="7">
        <f>SUM(B36:B37)</f>
        <v>4338.5381383136355</v>
      </c>
      <c r="C38" s="7">
        <f>B38/448.1</f>
        <v>9.6820757382585025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10">
        <v>50345</v>
      </c>
      <c r="C40" s="3"/>
      <c r="D40" s="5"/>
    </row>
    <row r="41" spans="1:4" ht="26.25">
      <c r="A41" s="8" t="s">
        <v>22</v>
      </c>
      <c r="B41" s="5">
        <v>11968.2</v>
      </c>
      <c r="C41" s="3"/>
      <c r="D41" s="5"/>
    </row>
    <row r="42" spans="1:4">
      <c r="A42" s="6" t="s">
        <v>8</v>
      </c>
      <c r="B42" s="7">
        <f>SUM(B40:B41)</f>
        <v>62313.2</v>
      </c>
      <c r="C42" s="7">
        <f>B42/448.1</f>
        <v>139.06092390091496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1524587/43531.5*448.1</f>
        <v>15693.634143091784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4739.4775112137186</v>
      </c>
      <c r="C47" s="3"/>
      <c r="D47" s="5"/>
    </row>
    <row r="48" spans="1:4">
      <c r="A48" s="3" t="s">
        <v>25</v>
      </c>
      <c r="B48" s="5">
        <f>(26463.66+29574)/43531.5*448.1</f>
        <v>576.83460128872207</v>
      </c>
      <c r="C48" s="3"/>
      <c r="D48" s="5"/>
    </row>
    <row r="49" spans="1:4">
      <c r="A49" s="3" t="s">
        <v>26</v>
      </c>
      <c r="B49" s="5"/>
      <c r="C49" s="3"/>
      <c r="D49" s="5"/>
    </row>
    <row r="50" spans="1:4" ht="26.25">
      <c r="A50" s="8" t="s">
        <v>27</v>
      </c>
      <c r="B50" s="5">
        <f>10238.68/43531.5*448.1</f>
        <v>105.39385291111036</v>
      </c>
      <c r="C50" s="3"/>
      <c r="D50" s="5"/>
    </row>
    <row r="51" spans="1:4">
      <c r="A51" s="3" t="s">
        <v>28</v>
      </c>
      <c r="B51" s="5">
        <f>36364/43531.5*448.1</f>
        <v>374.31993843538589</v>
      </c>
      <c r="C51" s="3"/>
      <c r="D51" s="5"/>
    </row>
    <row r="52" spans="1:4">
      <c r="A52" s="3" t="s">
        <v>29</v>
      </c>
      <c r="B52" s="5"/>
      <c r="C52" s="3"/>
      <c r="D52" s="3"/>
    </row>
    <row r="53" spans="1:4">
      <c r="A53" s="6" t="s">
        <v>8</v>
      </c>
      <c r="B53" s="7">
        <f>SUM(B44:B52)</f>
        <v>21489.660046940724</v>
      </c>
      <c r="C53" s="7">
        <f>B53/448.1</f>
        <v>47.957286424772867</v>
      </c>
      <c r="D53" s="6"/>
    </row>
    <row r="54" spans="1:4">
      <c r="A54" s="3"/>
      <c r="B54" s="3"/>
      <c r="C54" s="3"/>
      <c r="D54" s="3"/>
    </row>
    <row r="55" spans="1:4">
      <c r="A55" s="6" t="s">
        <v>30</v>
      </c>
      <c r="B55" s="7">
        <f>B15+B22+B24+B31+B34+B38+B42+B53</f>
        <v>110145.3816235518</v>
      </c>
      <c r="C55" s="7">
        <f>C15+C22+C24+C31+C34+C38+C42+C53</f>
        <v>245.80535957052396</v>
      </c>
      <c r="D55" s="6"/>
    </row>
    <row r="56" spans="1:4">
      <c r="A56" s="3" t="s">
        <v>31</v>
      </c>
      <c r="B56" s="3">
        <v>-15293.97</v>
      </c>
      <c r="C56" s="3"/>
      <c r="D56" s="3"/>
    </row>
    <row r="57" spans="1:4">
      <c r="A57" s="3" t="s">
        <v>32</v>
      </c>
      <c r="B57" s="3">
        <v>80658</v>
      </c>
      <c r="C57" s="3"/>
      <c r="D57" s="3"/>
    </row>
    <row r="58" spans="1:4">
      <c r="A58" s="6" t="s">
        <v>99</v>
      </c>
      <c r="B58" s="6">
        <v>66358.09</v>
      </c>
      <c r="C58" s="6"/>
      <c r="D58" s="6"/>
    </row>
    <row r="59" spans="1:4">
      <c r="A59" s="6" t="s">
        <v>40</v>
      </c>
      <c r="B59" s="7">
        <f>B56+B58-B55</f>
        <v>-59081.261623551807</v>
      </c>
      <c r="C59" s="6"/>
      <c r="D59" s="6"/>
    </row>
  </sheetData>
  <mergeCells count="8">
    <mergeCell ref="A39:D39"/>
    <mergeCell ref="A43:D43"/>
    <mergeCell ref="A10:D10"/>
    <mergeCell ref="A16:D16"/>
    <mergeCell ref="A23:D23"/>
    <mergeCell ref="A25:D25"/>
    <mergeCell ref="A32:D32"/>
    <mergeCell ref="A35:D35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59"/>
  <sheetViews>
    <sheetView topLeftCell="A43" workbookViewId="0">
      <selection activeCell="A58" sqref="A58"/>
    </sheetView>
  </sheetViews>
  <sheetFormatPr defaultRowHeight="15"/>
  <cols>
    <col min="1" max="1" width="38.140625" customWidth="1"/>
    <col min="2" max="2" width="13.7109375" customWidth="1"/>
    <col min="3" max="3" width="14.85546875" customWidth="1"/>
    <col min="4" max="4" width="13.5703125" customWidth="1"/>
  </cols>
  <sheetData>
    <row r="1" spans="1:4">
      <c r="A1" s="9" t="s">
        <v>55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453</v>
      </c>
      <c r="C3" s="9"/>
      <c r="D3" s="9"/>
    </row>
    <row r="4" spans="1:4">
      <c r="A4" s="3" t="s">
        <v>80</v>
      </c>
      <c r="B4" s="3">
        <v>1968</v>
      </c>
      <c r="C4" s="9"/>
      <c r="D4" s="9"/>
    </row>
    <row r="5" spans="1:4">
      <c r="A5" s="3" t="s">
        <v>81</v>
      </c>
      <c r="B5" s="3">
        <v>2</v>
      </c>
      <c r="C5" s="9"/>
      <c r="D5" s="9"/>
    </row>
    <row r="6" spans="1:4">
      <c r="A6" s="3" t="s">
        <v>79</v>
      </c>
      <c r="B6" s="3">
        <v>20</v>
      </c>
      <c r="C6" s="9"/>
      <c r="D6" s="9"/>
    </row>
    <row r="7" spans="1:4">
      <c r="A7" s="3" t="s">
        <v>82</v>
      </c>
      <c r="B7" s="5">
        <v>15</v>
      </c>
      <c r="C7" s="9"/>
      <c r="D7" s="9"/>
    </row>
    <row r="8" spans="1:4" ht="38.25">
      <c r="A8" s="1" t="s">
        <v>0</v>
      </c>
      <c r="B8" s="2" t="s">
        <v>1</v>
      </c>
      <c r="C8" s="2" t="s">
        <v>2</v>
      </c>
      <c r="D8" s="14" t="s">
        <v>56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>
        <f>4*95</f>
        <v>380</v>
      </c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960770.17*0.7/43531.5*453</f>
        <v>6998.6152764549806</v>
      </c>
      <c r="C13" s="3"/>
      <c r="D13" s="3"/>
    </row>
    <row r="14" spans="1:4">
      <c r="A14" s="3" t="s">
        <v>7</v>
      </c>
      <c r="B14" s="5">
        <f>B13*0.302</f>
        <v>2113.5818134894039</v>
      </c>
      <c r="C14" s="3"/>
      <c r="D14" s="3"/>
    </row>
    <row r="15" spans="1:4">
      <c r="A15" s="6" t="s">
        <v>8</v>
      </c>
      <c r="B15" s="7">
        <f>SUM(B11:B14)</f>
        <v>9492.1970899443841</v>
      </c>
      <c r="C15" s="7">
        <f>B15/453</f>
        <v>20.95407746124588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>
        <f>4*11+10.5+71</f>
        <v>125.5</v>
      </c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204766/43531.5*453</f>
        <v>2130.8477309534474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643.51601474794109</v>
      </c>
      <c r="C21" s="3"/>
      <c r="D21" s="5"/>
    </row>
    <row r="22" spans="1:4">
      <c r="A22" s="6" t="s">
        <v>8</v>
      </c>
      <c r="B22" s="7">
        <f>SUM(B17:B21)</f>
        <v>2899.8637457013883</v>
      </c>
      <c r="C22" s="7">
        <f>B22/453</f>
        <v>6.4014652222988708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189083.2/43531.5*453</f>
        <v>1967.6484752420663</v>
      </c>
      <c r="C24" s="7">
        <f>B24/453</f>
        <v>4.3435948680840317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/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404239.93*0.7/43531.5*453</f>
        <v>2944.6373730057544</v>
      </c>
      <c r="C28" s="3"/>
      <c r="D28" s="5"/>
    </row>
    <row r="29" spans="1:4">
      <c r="A29" s="3" t="s">
        <v>15</v>
      </c>
      <c r="B29" s="5">
        <f>(134253+40544.4+265003.7+7080*12+356.81*7+15000)/43531.5*453</f>
        <v>5642.88441266669</v>
      </c>
      <c r="C29" s="3"/>
      <c r="D29" s="3"/>
    </row>
    <row r="30" spans="1:4">
      <c r="A30" s="3" t="s">
        <v>7</v>
      </c>
      <c r="B30" s="5">
        <f>B28*0.302</f>
        <v>889.2804866477378</v>
      </c>
      <c r="C30" s="3"/>
      <c r="D30" s="5"/>
    </row>
    <row r="31" spans="1:4">
      <c r="A31" s="6" t="s">
        <v>8</v>
      </c>
      <c r="B31" s="7">
        <f>SUM(B26:B30)</f>
        <v>9476.802272320183</v>
      </c>
      <c r="C31" s="7">
        <f>B31/453</f>
        <v>20.920093316380093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49104.78/43531.5*453</f>
        <v>510.99698700940695</v>
      </c>
      <c r="C33" s="3"/>
      <c r="D33" s="5"/>
    </row>
    <row r="34" spans="1:4">
      <c r="A34" s="6" t="s">
        <v>8</v>
      </c>
      <c r="B34" s="7">
        <f>SUM(B33:B33)</f>
        <v>510.99698700940695</v>
      </c>
      <c r="C34" s="7">
        <f>B34/453</f>
        <v>1.1280286688949381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373535.28/43531.5*453</f>
        <v>3887.104323076393</v>
      </c>
      <c r="C36" s="3"/>
      <c r="D36" s="5"/>
    </row>
    <row r="37" spans="1:4">
      <c r="A37" s="3" t="s">
        <v>20</v>
      </c>
      <c r="B37" s="5">
        <f>(26500+12150+8250+1040)/43531.5*453</f>
        <v>498.87598635470863</v>
      </c>
      <c r="C37" s="3"/>
      <c r="D37" s="5"/>
    </row>
    <row r="38" spans="1:4">
      <c r="A38" s="6" t="s">
        <v>8</v>
      </c>
      <c r="B38" s="7">
        <f>SUM(B36:B37)</f>
        <v>4385.9803094311019</v>
      </c>
      <c r="C38" s="7">
        <f>B38/453</f>
        <v>9.6820757382585025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10">
        <v>43488</v>
      </c>
      <c r="C40" s="3"/>
      <c r="D40" s="5"/>
    </row>
    <row r="41" spans="1:4" ht="26.25">
      <c r="A41" s="8" t="s">
        <v>22</v>
      </c>
      <c r="B41" s="5">
        <v>4740.91</v>
      </c>
      <c r="C41" s="3"/>
      <c r="D41" s="5"/>
    </row>
    <row r="42" spans="1:4">
      <c r="A42" s="6" t="s">
        <v>8</v>
      </c>
      <c r="B42" s="7">
        <f>SUM(B40:B41)</f>
        <v>48228.91</v>
      </c>
      <c r="C42" s="7">
        <f>B42/453</f>
        <v>106.46558498896248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1624587/43531.5*453</f>
        <v>16905.870714310327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5105.5729557217192</v>
      </c>
      <c r="C47" s="3"/>
      <c r="D47" s="5"/>
    </row>
    <row r="48" spans="1:4">
      <c r="A48" s="3" t="s">
        <v>25</v>
      </c>
      <c r="B48" s="5">
        <f>(26463.66+29574)/43531.5*453</f>
        <v>583.14232176699636</v>
      </c>
      <c r="C48" s="3"/>
      <c r="D48" s="5"/>
    </row>
    <row r="49" spans="1:4">
      <c r="A49" s="3" t="s">
        <v>26</v>
      </c>
      <c r="B49" s="5"/>
      <c r="C49" s="3"/>
      <c r="D49" s="5"/>
    </row>
    <row r="50" spans="1:4" ht="26.25">
      <c r="A50" s="8" t="s">
        <v>27</v>
      </c>
      <c r="B50" s="5">
        <f>10238.68/43531.5*453</f>
        <v>106.54634092553668</v>
      </c>
      <c r="C50" s="3"/>
      <c r="D50" s="5"/>
    </row>
    <row r="51" spans="1:4">
      <c r="A51" s="3" t="s">
        <v>28</v>
      </c>
      <c r="B51" s="5">
        <f>36364/43531.5*453</f>
        <v>378.41314909892839</v>
      </c>
      <c r="C51" s="3"/>
      <c r="D51" s="5"/>
    </row>
    <row r="52" spans="1:4">
      <c r="A52" s="3" t="s">
        <v>29</v>
      </c>
      <c r="B52" s="5"/>
      <c r="C52" s="3"/>
      <c r="D52" s="3"/>
    </row>
    <row r="53" spans="1:4">
      <c r="A53" s="6" t="s">
        <v>8</v>
      </c>
      <c r="B53" s="7">
        <f>SUM(B44:B52)</f>
        <v>23079.545481823508</v>
      </c>
      <c r="C53" s="7">
        <f>B53/453</f>
        <v>50.948224021685448</v>
      </c>
      <c r="D53" s="6"/>
    </row>
    <row r="54" spans="1:4">
      <c r="A54" s="3"/>
      <c r="B54" s="3"/>
      <c r="C54" s="3"/>
      <c r="D54" s="3"/>
    </row>
    <row r="55" spans="1:4">
      <c r="A55" s="6" t="s">
        <v>30</v>
      </c>
      <c r="B55" s="7">
        <f>B15+B22+B24+B31+B34+B38+B42+B53</f>
        <v>100041.94436147204</v>
      </c>
      <c r="C55" s="7">
        <f>C15+C22+C24+C31+C34+C38+C42+C53</f>
        <v>220.84314428581024</v>
      </c>
      <c r="D55" s="6"/>
    </row>
    <row r="56" spans="1:4">
      <c r="A56" s="3" t="s">
        <v>31</v>
      </c>
      <c r="B56" s="3">
        <v>46100.49</v>
      </c>
      <c r="C56" s="3"/>
      <c r="D56" s="3"/>
    </row>
    <row r="57" spans="1:4">
      <c r="A57" s="3" t="s">
        <v>32</v>
      </c>
      <c r="B57" s="3">
        <v>81540</v>
      </c>
      <c r="C57" s="3"/>
      <c r="D57" s="3"/>
    </row>
    <row r="58" spans="1:4">
      <c r="A58" s="6" t="s">
        <v>99</v>
      </c>
      <c r="B58" s="6">
        <v>72068.399999999994</v>
      </c>
      <c r="C58" s="6"/>
      <c r="D58" s="6"/>
    </row>
    <row r="59" spans="1:4">
      <c r="A59" s="6" t="s">
        <v>40</v>
      </c>
      <c r="B59" s="7">
        <f>B56+B58-B55</f>
        <v>18126.945638527948</v>
      </c>
      <c r="C59" s="6"/>
      <c r="D59" s="6"/>
    </row>
  </sheetData>
  <mergeCells count="8">
    <mergeCell ref="A39:D39"/>
    <mergeCell ref="A43:D43"/>
    <mergeCell ref="A10:D10"/>
    <mergeCell ref="A16:D16"/>
    <mergeCell ref="A23:D23"/>
    <mergeCell ref="A25:D25"/>
    <mergeCell ref="A32:D32"/>
    <mergeCell ref="A35:D35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D59"/>
  <sheetViews>
    <sheetView topLeftCell="A40" workbookViewId="0">
      <selection activeCell="D62" sqref="D62"/>
    </sheetView>
  </sheetViews>
  <sheetFormatPr defaultRowHeight="15"/>
  <cols>
    <col min="1" max="1" width="38.42578125" customWidth="1"/>
    <col min="2" max="2" width="13.7109375" customWidth="1"/>
    <col min="3" max="3" width="14.85546875" customWidth="1"/>
    <col min="4" max="4" width="13.5703125" customWidth="1"/>
  </cols>
  <sheetData>
    <row r="1" spans="1:4">
      <c r="A1" s="9" t="s">
        <v>58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1698.1</v>
      </c>
      <c r="C3" s="9"/>
      <c r="D3" s="9"/>
    </row>
    <row r="4" spans="1:4">
      <c r="A4" s="3" t="s">
        <v>80</v>
      </c>
      <c r="B4" s="3">
        <v>1970</v>
      </c>
      <c r="C4" s="9"/>
      <c r="D4" s="9"/>
    </row>
    <row r="5" spans="1:4">
      <c r="A5" s="3" t="s">
        <v>81</v>
      </c>
      <c r="B5" s="3">
        <v>5</v>
      </c>
      <c r="C5" s="9"/>
      <c r="D5" s="9"/>
    </row>
    <row r="6" spans="1:4">
      <c r="A6" s="3" t="s">
        <v>79</v>
      </c>
      <c r="B6" s="3">
        <v>67</v>
      </c>
      <c r="C6" s="9"/>
      <c r="D6" s="9"/>
    </row>
    <row r="7" spans="1:4">
      <c r="A7" s="3" t="s">
        <v>82</v>
      </c>
      <c r="B7" s="5">
        <v>15</v>
      </c>
      <c r="C7" s="9"/>
      <c r="D7" s="9"/>
    </row>
    <row r="8" spans="1:4" ht="38.25">
      <c r="A8" s="1" t="s">
        <v>0</v>
      </c>
      <c r="B8" s="2" t="s">
        <v>1</v>
      </c>
      <c r="C8" s="2" t="s">
        <v>2</v>
      </c>
      <c r="D8" s="14" t="s">
        <v>57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>
        <v>120</v>
      </c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960770.17*0.64/43531.5*1698.1</f>
        <v>23986.070970062599</v>
      </c>
      <c r="C13" s="3"/>
      <c r="D13" s="3"/>
    </row>
    <row r="14" spans="1:4">
      <c r="A14" s="3" t="s">
        <v>7</v>
      </c>
      <c r="B14" s="5">
        <f>B13*0.302</f>
        <v>7243.7934329589052</v>
      </c>
      <c r="C14" s="3"/>
      <c r="D14" s="3"/>
    </row>
    <row r="15" spans="1:4">
      <c r="A15" s="6" t="s">
        <v>8</v>
      </c>
      <c r="B15" s="7">
        <f>SUM(B11:B14)</f>
        <v>31349.864403021504</v>
      </c>
      <c r="C15" s="7">
        <f>B15/1698.1</f>
        <v>18.461730406349158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>
        <f>10*11+6*99+2*54</f>
        <v>812</v>
      </c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204766*0.64/43531.5*1698.1</f>
        <v>5112.0777493079722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1543.8474802910075</v>
      </c>
      <c r="C21" s="3"/>
      <c r="D21" s="5"/>
    </row>
    <row r="22" spans="1:4">
      <c r="A22" s="6" t="s">
        <v>8</v>
      </c>
      <c r="B22" s="7">
        <f>SUM(B17:B21)</f>
        <v>7467.92522959898</v>
      </c>
      <c r="C22" s="7">
        <f>B22/1698.1</f>
        <v>4.3978123959713686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189083.2/43531.5*1698.1</f>
        <v>7375.8584454934935</v>
      </c>
      <c r="C24" s="7">
        <f>B24/1698.1</f>
        <v>4.3435948680840317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/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404239.93*0.64/43531.5*1698.1</f>
        <v>10092.036527230166</v>
      </c>
      <c r="C28" s="3"/>
      <c r="D28" s="5"/>
    </row>
    <row r="29" spans="1:4">
      <c r="A29" s="3" t="s">
        <v>15</v>
      </c>
      <c r="B29" s="5">
        <f>(134253+40544.4+265003.7+7080*12+356.81*7+15000)/43531.5*1698.1</f>
        <v>21152.719693486324</v>
      </c>
      <c r="C29" s="3"/>
      <c r="D29" s="3"/>
    </row>
    <row r="30" spans="1:4">
      <c r="A30" s="3" t="s">
        <v>7</v>
      </c>
      <c r="B30" s="5">
        <f>B28*0.302</f>
        <v>3047.7950312235103</v>
      </c>
      <c r="C30" s="3"/>
      <c r="D30" s="5"/>
    </row>
    <row r="31" spans="1:4">
      <c r="A31" s="6" t="s">
        <v>8</v>
      </c>
      <c r="B31" s="7">
        <f>SUM(B26:B30)</f>
        <v>34292.55125194</v>
      </c>
      <c r="C31" s="7">
        <f>B31/1698.1</f>
        <v>20.194659473493907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49104.78/43531.5*1698.1</f>
        <v>1915.5054826504943</v>
      </c>
      <c r="C33" s="3"/>
      <c r="D33" s="5"/>
    </row>
    <row r="34" spans="1:4">
      <c r="A34" s="6" t="s">
        <v>8</v>
      </c>
      <c r="B34" s="7">
        <f>SUM(B33:B33)</f>
        <v>1915.5054826504943</v>
      </c>
      <c r="C34" s="7">
        <f>B34/1698.1</f>
        <v>1.1280286688949381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373535.28/43531.5*1698.1</f>
        <v>14571.063688777092</v>
      </c>
      <c r="C36" s="3"/>
      <c r="D36" s="5"/>
    </row>
    <row r="37" spans="1:4">
      <c r="A37" s="3" t="s">
        <v>20</v>
      </c>
      <c r="B37" s="5">
        <f>(26500+12150+8250+1040)/43531.5*1698.1</f>
        <v>1870.0691223596705</v>
      </c>
      <c r="C37" s="3"/>
      <c r="D37" s="5"/>
    </row>
    <row r="38" spans="1:4">
      <c r="A38" s="6" t="s">
        <v>8</v>
      </c>
      <c r="B38" s="7">
        <f>SUM(B36:B37)</f>
        <v>16441.132811136762</v>
      </c>
      <c r="C38" s="7">
        <f>B38/1698.1</f>
        <v>9.6820757382585025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10">
        <v>147962</v>
      </c>
      <c r="C40" s="3"/>
      <c r="D40" s="5"/>
    </row>
    <row r="41" spans="1:4" ht="26.25">
      <c r="A41" s="8" t="s">
        <v>22</v>
      </c>
      <c r="B41" s="5">
        <v>13911.17</v>
      </c>
      <c r="C41" s="3"/>
      <c r="D41" s="5"/>
    </row>
    <row r="42" spans="1:4">
      <c r="A42" s="6" t="s">
        <v>8</v>
      </c>
      <c r="B42" s="7">
        <f>SUM(B40:B41)</f>
        <v>161873.17000000001</v>
      </c>
      <c r="C42" s="7">
        <f>B42/1698.1</f>
        <v>95.326052647076153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1524587/43531.5*1698.1</f>
        <v>59471.903901772275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17960.514978335228</v>
      </c>
      <c r="C47" s="3"/>
      <c r="D47" s="5"/>
    </row>
    <row r="48" spans="1:4">
      <c r="A48" s="3" t="s">
        <v>25</v>
      </c>
      <c r="B48" s="5">
        <f>(26463.66+29574)/43531.5*1698.1</f>
        <v>2185.9469681954447</v>
      </c>
      <c r="C48" s="3"/>
      <c r="D48" s="5"/>
    </row>
    <row r="49" spans="1:4">
      <c r="A49" s="3" t="s">
        <v>26</v>
      </c>
      <c r="B49" s="5"/>
      <c r="C49" s="3"/>
      <c r="D49" s="5"/>
    </row>
    <row r="50" spans="1:4" ht="26.25">
      <c r="A50" s="8" t="s">
        <v>27</v>
      </c>
      <c r="B50" s="5">
        <f>10238.68/43531.5*1698.1</f>
        <v>399.39589740762437</v>
      </c>
      <c r="C50" s="3"/>
      <c r="D50" s="5"/>
    </row>
    <row r="51" spans="1:4">
      <c r="A51" s="3" t="s">
        <v>28</v>
      </c>
      <c r="B51" s="5">
        <f>36364/43531.5*1698.1</f>
        <v>1418.5063321962257</v>
      </c>
      <c r="C51" s="3"/>
      <c r="D51" s="5"/>
    </row>
    <row r="52" spans="1:4">
      <c r="A52" s="3" t="s">
        <v>29</v>
      </c>
      <c r="B52" s="5"/>
      <c r="C52" s="3"/>
      <c r="D52" s="3"/>
    </row>
    <row r="53" spans="1:4">
      <c r="A53" s="6" t="s">
        <v>8</v>
      </c>
      <c r="B53" s="7">
        <f>SUM(B44:B52)</f>
        <v>81436.268077906803</v>
      </c>
      <c r="C53" s="7">
        <f>B53/1698.1</f>
        <v>47.957286424772867</v>
      </c>
      <c r="D53" s="6"/>
    </row>
    <row r="54" spans="1:4">
      <c r="A54" s="3"/>
      <c r="B54" s="3"/>
      <c r="C54" s="3"/>
      <c r="D54" s="3"/>
    </row>
    <row r="55" spans="1:4">
      <c r="A55" s="6" t="s">
        <v>30</v>
      </c>
      <c r="B55" s="7">
        <f>B15+B22+B24+B31+B34+B38+B42+B53</f>
        <v>342152.27570174809</v>
      </c>
      <c r="C55" s="7">
        <f>C15+C22+C24+C31+C34+C38+C42+C53</f>
        <v>201.49124062290093</v>
      </c>
      <c r="D55" s="6"/>
    </row>
    <row r="56" spans="1:4">
      <c r="A56" s="3" t="s">
        <v>31</v>
      </c>
      <c r="B56" s="3">
        <v>-87995.67</v>
      </c>
      <c r="C56" s="3"/>
      <c r="D56" s="3"/>
    </row>
    <row r="57" spans="1:4">
      <c r="A57" s="3" t="s">
        <v>32</v>
      </c>
      <c r="B57" s="3">
        <v>277741.56</v>
      </c>
      <c r="C57" s="3"/>
      <c r="D57" s="3"/>
    </row>
    <row r="58" spans="1:4">
      <c r="A58" s="6" t="s">
        <v>101</v>
      </c>
      <c r="B58" s="6">
        <v>281767.64</v>
      </c>
      <c r="C58" s="6"/>
      <c r="D58" s="6"/>
    </row>
    <row r="59" spans="1:4">
      <c r="A59" s="6" t="s">
        <v>40</v>
      </c>
      <c r="B59" s="7">
        <f>B56+B58-B55</f>
        <v>-148380.30570174806</v>
      </c>
      <c r="C59" s="6"/>
      <c r="D59" s="6"/>
    </row>
  </sheetData>
  <mergeCells count="8">
    <mergeCell ref="A43:D43"/>
    <mergeCell ref="A10:D10"/>
    <mergeCell ref="A16:D16"/>
    <mergeCell ref="A23:D23"/>
    <mergeCell ref="A25:D25"/>
    <mergeCell ref="A32:D32"/>
    <mergeCell ref="A35:D35"/>
    <mergeCell ref="A39:D39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59"/>
  <sheetViews>
    <sheetView topLeftCell="A40" workbookViewId="0">
      <selection activeCell="A58" sqref="A58"/>
    </sheetView>
  </sheetViews>
  <sheetFormatPr defaultRowHeight="15"/>
  <cols>
    <col min="1" max="1" width="38.5703125" customWidth="1"/>
    <col min="2" max="2" width="13.7109375" customWidth="1"/>
    <col min="3" max="3" width="14.85546875" customWidth="1"/>
    <col min="4" max="4" width="13.5703125" customWidth="1"/>
  </cols>
  <sheetData>
    <row r="1" spans="1:4">
      <c r="A1" s="9" t="s">
        <v>59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672.2</v>
      </c>
      <c r="C3" s="9"/>
      <c r="D3" s="9"/>
    </row>
    <row r="4" spans="1:4">
      <c r="A4" s="3" t="s">
        <v>80</v>
      </c>
      <c r="B4" s="3">
        <v>2007</v>
      </c>
      <c r="C4" s="9"/>
      <c r="D4" s="9"/>
    </row>
    <row r="5" spans="1:4">
      <c r="A5" s="3" t="s">
        <v>81</v>
      </c>
      <c r="B5" s="3">
        <v>2</v>
      </c>
      <c r="C5" s="9"/>
      <c r="D5" s="9"/>
    </row>
    <row r="6" spans="1:4">
      <c r="A6" s="3" t="s">
        <v>79</v>
      </c>
      <c r="B6" s="3">
        <v>45</v>
      </c>
      <c r="C6" s="9"/>
      <c r="D6" s="9"/>
    </row>
    <row r="7" spans="1:4">
      <c r="A7" s="3" t="s">
        <v>82</v>
      </c>
      <c r="B7" s="5">
        <v>15</v>
      </c>
      <c r="C7" s="9"/>
      <c r="D7" s="9"/>
    </row>
    <row r="8" spans="1:4" ht="38.25">
      <c r="A8" s="1" t="s">
        <v>0</v>
      </c>
      <c r="B8" s="2" t="s">
        <v>1</v>
      </c>
      <c r="C8" s="2" t="s">
        <v>2</v>
      </c>
      <c r="D8" s="14" t="s">
        <v>60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>
        <f>22+5.12+82.83+26.25</f>
        <v>136.19999999999999</v>
      </c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960770.17*0.7/43531.5*672.2</f>
        <v>10385.141697203175</v>
      </c>
      <c r="C13" s="3"/>
      <c r="D13" s="3"/>
    </row>
    <row r="14" spans="1:4">
      <c r="A14" s="3" t="s">
        <v>7</v>
      </c>
      <c r="B14" s="5">
        <f>B13*0.302</f>
        <v>3136.3127925553586</v>
      </c>
      <c r="C14" s="3"/>
      <c r="D14" s="3"/>
    </row>
    <row r="15" spans="1:4">
      <c r="A15" s="6" t="s">
        <v>8</v>
      </c>
      <c r="B15" s="7">
        <f>SUM(B11:B14)</f>
        <v>13657.654489758534</v>
      </c>
      <c r="C15" s="7">
        <f>B15/672.2</f>
        <v>20.317843632488149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>
        <f>6*11+16.67</f>
        <v>82.67</v>
      </c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204766/43531.5*672.2</f>
        <v>3161.9334321123783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954.90389649793826</v>
      </c>
      <c r="C21" s="3"/>
      <c r="D21" s="5"/>
    </row>
    <row r="22" spans="1:4">
      <c r="A22" s="6" t="s">
        <v>8</v>
      </c>
      <c r="B22" s="7">
        <f>SUM(B17:B21)</f>
        <v>4199.507328610317</v>
      </c>
      <c r="C22" s="7">
        <f>B22/672.2</f>
        <v>6.2474075105776805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189083.2/43531.5*672.2</f>
        <v>2919.7644703260862</v>
      </c>
      <c r="C24" s="7">
        <f>B24/672.2</f>
        <v>4.3435948680840317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/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404239.93*0.7/43531.5*672.2</f>
        <v>4369.5038457714536</v>
      </c>
      <c r="C28" s="3"/>
      <c r="D28" s="5"/>
    </row>
    <row r="29" spans="1:4">
      <c r="A29" s="3" t="s">
        <v>15</v>
      </c>
      <c r="B29" s="5">
        <f>(134253+40544.4+265003.7+7080*12+356.81*7+15000)/43531.5*672.2</f>
        <v>8373.3927200762682</v>
      </c>
      <c r="C29" s="3"/>
      <c r="D29" s="3"/>
    </row>
    <row r="30" spans="1:4">
      <c r="A30" s="3" t="s">
        <v>7</v>
      </c>
      <c r="B30" s="5">
        <f>B28*0.302</f>
        <v>1319.590161422979</v>
      </c>
      <c r="C30" s="3"/>
      <c r="D30" s="5"/>
    </row>
    <row r="31" spans="1:4">
      <c r="A31" s="6" t="s">
        <v>8</v>
      </c>
      <c r="B31" s="7">
        <f>SUM(B26:B30)</f>
        <v>14062.4867272707</v>
      </c>
      <c r="C31" s="7">
        <f>B31/672.2</f>
        <v>20.920093316380093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49104.78/43531.5*672.2</f>
        <v>758.26087123117748</v>
      </c>
      <c r="C33" s="3"/>
      <c r="D33" s="5"/>
    </row>
    <row r="34" spans="1:4">
      <c r="A34" s="6" t="s">
        <v>8</v>
      </c>
      <c r="B34" s="7">
        <f>SUM(B33:B33)</f>
        <v>758.26087123117748</v>
      </c>
      <c r="C34" s="7">
        <f>B34/672.2</f>
        <v>1.1280286688949381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373535.28/43531.5*672.2</f>
        <v>5768.0166136246171</v>
      </c>
      <c r="C36" s="3"/>
      <c r="D36" s="5"/>
    </row>
    <row r="37" spans="1:4">
      <c r="A37" s="3" t="s">
        <v>20</v>
      </c>
      <c r="B37" s="5">
        <f>(26500+12150+8250+1040)/43531.5*672.2</f>
        <v>740.27469763274871</v>
      </c>
      <c r="C37" s="3"/>
      <c r="D37" s="5"/>
    </row>
    <row r="38" spans="1:4">
      <c r="A38" s="6" t="s">
        <v>8</v>
      </c>
      <c r="B38" s="7">
        <f>SUM(B36:B37)</f>
        <v>6508.291311257366</v>
      </c>
      <c r="C38" s="7">
        <f>B38/672.2</f>
        <v>9.6820757382585025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10">
        <v>188</v>
      </c>
      <c r="C40" s="3"/>
      <c r="D40" s="5"/>
    </row>
    <row r="41" spans="1:4" ht="26.25">
      <c r="A41" s="8" t="s">
        <v>22</v>
      </c>
      <c r="B41" s="5"/>
      <c r="C41" s="3"/>
      <c r="D41" s="5"/>
    </row>
    <row r="42" spans="1:4">
      <c r="A42" s="6" t="s">
        <v>8</v>
      </c>
      <c r="B42" s="7">
        <f>SUM(B40:B41)</f>
        <v>188</v>
      </c>
      <c r="C42" s="7">
        <f>B42/672.2</f>
        <v>0.27967866706337396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1524587/43531.5*672.2</f>
        <v>23542.202345428024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7109.7451083192627</v>
      </c>
      <c r="C47" s="3"/>
      <c r="D47" s="5"/>
    </row>
    <row r="48" spans="1:4">
      <c r="A48" s="3" t="s">
        <v>25</v>
      </c>
      <c r="B48" s="5">
        <f>(26463.66+29574)/43531.5*672.2</f>
        <v>865.31626642775927</v>
      </c>
      <c r="C48" s="3"/>
      <c r="D48" s="5"/>
    </row>
    <row r="49" spans="1:4">
      <c r="A49" s="3" t="s">
        <v>26</v>
      </c>
      <c r="B49" s="5"/>
      <c r="C49" s="3"/>
      <c r="D49" s="5"/>
    </row>
    <row r="50" spans="1:4" ht="26.25">
      <c r="A50" s="8" t="s">
        <v>27</v>
      </c>
      <c r="B50" s="5">
        <f>10238.68/43531.5*672.2</f>
        <v>158.10253944844538</v>
      </c>
      <c r="C50" s="3"/>
      <c r="D50" s="5"/>
    </row>
    <row r="51" spans="1:4">
      <c r="A51" s="3" t="s">
        <v>28</v>
      </c>
      <c r="B51" s="5">
        <f>36364/43531.5*672.2</f>
        <v>561.5216751088293</v>
      </c>
      <c r="C51" s="3"/>
      <c r="D51" s="5"/>
    </row>
    <row r="52" spans="1:4">
      <c r="A52" s="3" t="s">
        <v>29</v>
      </c>
      <c r="B52" s="5"/>
      <c r="C52" s="3"/>
      <c r="D52" s="3"/>
    </row>
    <row r="53" spans="1:4">
      <c r="A53" s="6" t="s">
        <v>8</v>
      </c>
      <c r="B53" s="7">
        <f>SUM(B44:B52)</f>
        <v>32236.88793473232</v>
      </c>
      <c r="C53" s="7">
        <f>B53/672.2</f>
        <v>47.95728642477286</v>
      </c>
      <c r="D53" s="6"/>
    </row>
    <row r="54" spans="1:4">
      <c r="A54" s="3"/>
      <c r="B54" s="3"/>
      <c r="C54" s="3"/>
      <c r="D54" s="3"/>
    </row>
    <row r="55" spans="1:4">
      <c r="A55" s="6" t="s">
        <v>30</v>
      </c>
      <c r="B55" s="7">
        <f>B15+B22+B24+B31+B34+B38+B42+B53</f>
        <v>74530.853133186494</v>
      </c>
      <c r="C55" s="7">
        <f>C15+C22+C24+C31+C34+C38+C42+C53</f>
        <v>110.87600882651964</v>
      </c>
      <c r="D55" s="6"/>
    </row>
    <row r="56" spans="1:4">
      <c r="A56" s="3" t="s">
        <v>31</v>
      </c>
      <c r="B56" s="3">
        <v>49322.59</v>
      </c>
      <c r="C56" s="3"/>
      <c r="D56" s="3"/>
    </row>
    <row r="57" spans="1:4">
      <c r="A57" s="3" t="s">
        <v>32</v>
      </c>
      <c r="B57" s="3">
        <v>120996</v>
      </c>
      <c r="C57" s="3"/>
      <c r="D57" s="3"/>
    </row>
    <row r="58" spans="1:4">
      <c r="A58" s="6" t="s">
        <v>102</v>
      </c>
      <c r="B58" s="6">
        <v>113499.51</v>
      </c>
      <c r="C58" s="6"/>
      <c r="D58" s="6"/>
    </row>
    <row r="59" spans="1:4">
      <c r="A59" s="6" t="s">
        <v>40</v>
      </c>
      <c r="B59" s="7">
        <f>B56+B58-B55</f>
        <v>88291.246866813482</v>
      </c>
      <c r="C59" s="6"/>
      <c r="D59" s="6"/>
    </row>
  </sheetData>
  <mergeCells count="8">
    <mergeCell ref="A43:D43"/>
    <mergeCell ref="A10:D10"/>
    <mergeCell ref="A16:D16"/>
    <mergeCell ref="A23:D23"/>
    <mergeCell ref="A25:D25"/>
    <mergeCell ref="A32:D32"/>
    <mergeCell ref="A35:D35"/>
    <mergeCell ref="A39:D39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D58"/>
  <sheetViews>
    <sheetView topLeftCell="A40" workbookViewId="0">
      <selection activeCell="A57" sqref="A57"/>
    </sheetView>
  </sheetViews>
  <sheetFormatPr defaultRowHeight="15"/>
  <cols>
    <col min="1" max="1" width="38.140625" customWidth="1"/>
    <col min="2" max="2" width="13.7109375" customWidth="1"/>
    <col min="3" max="3" width="14.85546875" customWidth="1"/>
    <col min="4" max="4" width="13.5703125" customWidth="1"/>
  </cols>
  <sheetData>
    <row r="1" spans="1:4">
      <c r="A1" s="9" t="s">
        <v>62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4084.5</v>
      </c>
      <c r="C3" s="9"/>
      <c r="D3" s="9"/>
    </row>
    <row r="4" spans="1:4">
      <c r="A4" s="3" t="s">
        <v>80</v>
      </c>
      <c r="B4" s="3">
        <v>1982</v>
      </c>
      <c r="C4" s="9"/>
      <c r="D4" s="9"/>
    </row>
    <row r="5" spans="1:4">
      <c r="A5" s="3" t="s">
        <v>81</v>
      </c>
      <c r="B5" s="3">
        <v>5</v>
      </c>
      <c r="C5" s="9"/>
      <c r="D5" s="9"/>
    </row>
    <row r="6" spans="1:4">
      <c r="A6" s="3" t="s">
        <v>79</v>
      </c>
      <c r="B6" s="3">
        <v>152</v>
      </c>
      <c r="C6" s="9"/>
      <c r="D6" s="9"/>
    </row>
    <row r="7" spans="1:4">
      <c r="A7" s="3" t="s">
        <v>82</v>
      </c>
      <c r="B7" s="5">
        <v>15</v>
      </c>
      <c r="C7" s="9"/>
      <c r="D7" s="9"/>
    </row>
    <row r="8" spans="1:4" ht="38.25">
      <c r="A8" s="1" t="s">
        <v>0</v>
      </c>
      <c r="B8" s="2" t="s">
        <v>1</v>
      </c>
      <c r="C8" s="2" t="s">
        <v>2</v>
      </c>
      <c r="D8" s="14" t="s">
        <v>61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>
        <f>1*82.83+26.25+5.12</f>
        <v>114.2</v>
      </c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960770.17*0.7/43531.5*4084.5</f>
        <v>63103.408601943418</v>
      </c>
      <c r="C13" s="3"/>
      <c r="D13" s="3"/>
    </row>
    <row r="14" spans="1:4">
      <c r="A14" s="3" t="s">
        <v>7</v>
      </c>
      <c r="B14" s="5">
        <f>B13*0.302</f>
        <v>19057.229397786912</v>
      </c>
      <c r="C14" s="3"/>
      <c r="D14" s="3"/>
    </row>
    <row r="15" spans="1:4">
      <c r="A15" s="6" t="s">
        <v>8</v>
      </c>
      <c r="B15" s="7">
        <f>SUM(B11:B14)</f>
        <v>82274.837999730327</v>
      </c>
      <c r="C15" s="7">
        <f>B15/4084.5</f>
        <v>20.143184722666255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>
        <f>37*11+10*99+4*54+60+2*16.67</f>
        <v>1706.34</v>
      </c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204766/43531.5*4084.5</f>
        <v>19212.908514523962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5802.2983713862368</v>
      </c>
      <c r="C21" s="3"/>
      <c r="D21" s="5"/>
    </row>
    <row r="22" spans="1:4">
      <c r="A22" s="6" t="s">
        <v>8</v>
      </c>
      <c r="B22" s="7">
        <f>SUM(B17:B21)</f>
        <v>26721.5468859102</v>
      </c>
      <c r="C22" s="7">
        <f>B22/4084.5</f>
        <v>6.5421831034178481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189083.2/43531.5*4084.5</f>
        <v>17741.413238689227</v>
      </c>
      <c r="C24" s="7">
        <f>B24/4084.5</f>
        <v>4.3435948680840317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/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404239.93*0.8/43531.5*4084.5</f>
        <v>30343.415578787775</v>
      </c>
      <c r="C28" s="3"/>
      <c r="D28" s="5"/>
    </row>
    <row r="29" spans="1:4">
      <c r="A29" s="3" t="s">
        <v>15</v>
      </c>
      <c r="B29" s="5">
        <f>(134253+40544.4+265003.7+7080*12+356.81*7+15000)/43531.5*4084.5</f>
        <v>50879.384952620516</v>
      </c>
      <c r="C29" s="3"/>
      <c r="D29" s="3"/>
    </row>
    <row r="30" spans="1:4">
      <c r="A30" s="3" t="s">
        <v>7</v>
      </c>
      <c r="B30" s="5">
        <f>B28*0.302</f>
        <v>9163.7115047939078</v>
      </c>
      <c r="C30" s="3"/>
      <c r="D30" s="5"/>
    </row>
    <row r="31" spans="1:4">
      <c r="A31" s="6" t="s">
        <v>8</v>
      </c>
      <c r="B31" s="7">
        <f>SUM(B26:B30)</f>
        <v>90386.512036202184</v>
      </c>
      <c r="C31" s="7">
        <f>B31/4084.5</f>
        <v>22.129149721190398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49104.78/43531.5*4084.5</f>
        <v>4607.4330981013745</v>
      </c>
      <c r="C33" s="3"/>
      <c r="D33" s="5"/>
    </row>
    <row r="34" spans="1:4">
      <c r="A34" s="6" t="s">
        <v>8</v>
      </c>
      <c r="B34" s="7">
        <f>SUM(B33:B33)</f>
        <v>4607.4330981013745</v>
      </c>
      <c r="C34" s="7">
        <f>B34/4084.5</f>
        <v>1.1280286688949381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373535.28/43531.5*4084.5</f>
        <v>35048.294939526553</v>
      </c>
      <c r="C36" s="3"/>
      <c r="D36" s="5"/>
    </row>
    <row r="37" spans="1:4">
      <c r="A37" s="3" t="s">
        <v>20</v>
      </c>
      <c r="B37" s="5">
        <f>(26500+12150+8250+1040)/43531.5*4084.5</f>
        <v>4498.1434133903031</v>
      </c>
      <c r="C37" s="3"/>
      <c r="D37" s="5"/>
    </row>
    <row r="38" spans="1:4">
      <c r="A38" s="6" t="s">
        <v>8</v>
      </c>
      <c r="B38" s="7">
        <f>SUM(B36:B37)</f>
        <v>39546.438352916855</v>
      </c>
      <c r="C38" s="7">
        <f>B38/4084.5</f>
        <v>9.6820757382585025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10">
        <v>319008</v>
      </c>
      <c r="C40" s="3"/>
      <c r="D40" s="5"/>
    </row>
    <row r="41" spans="1:4" ht="26.25">
      <c r="A41" s="8" t="s">
        <v>22</v>
      </c>
      <c r="B41" s="5">
        <v>22499.82</v>
      </c>
      <c r="C41" s="3"/>
      <c r="D41" s="5"/>
    </row>
    <row r="42" spans="1:4">
      <c r="A42" s="6" t="s">
        <v>8</v>
      </c>
      <c r="B42" s="7">
        <f>SUM(B40:B41)</f>
        <v>341507.82</v>
      </c>
      <c r="C42" s="7">
        <f>B42/4084.5</f>
        <v>83.610679397723104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1624587/43531.5*4084.5</f>
        <v>152432.73495055304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46034.68595506702</v>
      </c>
      <c r="C47" s="3"/>
      <c r="D47" s="5"/>
    </row>
    <row r="48" spans="1:4">
      <c r="A48" s="3" t="s">
        <v>25</v>
      </c>
      <c r="B48" s="5">
        <f>(26463.66+29574)/43531.5*4084.5</f>
        <v>5257.9355701044078</v>
      </c>
      <c r="C48" s="3"/>
      <c r="D48" s="5"/>
    </row>
    <row r="49" spans="1:4">
      <c r="A49" s="3" t="s">
        <v>26</v>
      </c>
      <c r="B49" s="5"/>
      <c r="C49" s="3"/>
      <c r="D49" s="5"/>
    </row>
    <row r="50" spans="1:4" ht="26.25">
      <c r="A50" s="8" t="s">
        <v>27</v>
      </c>
      <c r="B50" s="5">
        <f>10238.68/43531.5*4084.5</f>
        <v>960.68108059680924</v>
      </c>
      <c r="C50" s="3"/>
      <c r="D50" s="5"/>
    </row>
    <row r="51" spans="1:4">
      <c r="A51" s="3" t="s">
        <v>28</v>
      </c>
      <c r="B51" s="5">
        <f>36364/43531.5*4084.5</f>
        <v>3411.9834602529204</v>
      </c>
      <c r="C51" s="3"/>
      <c r="D51" s="5"/>
    </row>
    <row r="52" spans="1:4">
      <c r="A52" s="3" t="s">
        <v>29</v>
      </c>
      <c r="B52" s="5"/>
      <c r="C52" s="3"/>
      <c r="D52" s="3"/>
    </row>
    <row r="53" spans="1:4">
      <c r="A53" s="6" t="s">
        <v>8</v>
      </c>
      <c r="B53" s="7">
        <f>SUM(B44:B52)</f>
        <v>208098.0210165742</v>
      </c>
      <c r="C53" s="7">
        <f>B53/4084.5</f>
        <v>50.948224021685448</v>
      </c>
      <c r="D53" s="6"/>
    </row>
    <row r="54" spans="1:4">
      <c r="A54" s="6" t="s">
        <v>30</v>
      </c>
      <c r="B54" s="7">
        <f>B15+B22+B24+B31+B34+B38+B42+B53</f>
        <v>810884.02262812445</v>
      </c>
      <c r="C54" s="7"/>
      <c r="D54" s="6"/>
    </row>
    <row r="55" spans="1:4">
      <c r="A55" s="3" t="s">
        <v>31</v>
      </c>
      <c r="B55" s="3">
        <v>152264.47</v>
      </c>
      <c r="C55" s="3"/>
      <c r="D55" s="3"/>
    </row>
    <row r="56" spans="1:4">
      <c r="A56" s="3" t="s">
        <v>32</v>
      </c>
      <c r="B56" s="3">
        <v>732496.5</v>
      </c>
      <c r="C56" s="3"/>
      <c r="D56" s="3"/>
    </row>
    <row r="57" spans="1:4">
      <c r="A57" s="6" t="s">
        <v>103</v>
      </c>
      <c r="B57" s="6">
        <v>729497.56</v>
      </c>
      <c r="C57" s="6"/>
      <c r="D57" s="6"/>
    </row>
    <row r="58" spans="1:4">
      <c r="A58" s="6" t="s">
        <v>40</v>
      </c>
      <c r="B58" s="7">
        <f>B55+B57-B54</f>
        <v>70878.007371875574</v>
      </c>
      <c r="C58" s="6"/>
      <c r="D58" s="6"/>
    </row>
  </sheetData>
  <mergeCells count="8">
    <mergeCell ref="A39:D39"/>
    <mergeCell ref="A43:D43"/>
    <mergeCell ref="A10:D10"/>
    <mergeCell ref="A16:D16"/>
    <mergeCell ref="A23:D23"/>
    <mergeCell ref="A25:D25"/>
    <mergeCell ref="A32:D32"/>
    <mergeCell ref="A35:D35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1"/>
  <sheetViews>
    <sheetView topLeftCell="A22" workbookViewId="0">
      <selection activeCell="H60" sqref="H60"/>
    </sheetView>
  </sheetViews>
  <sheetFormatPr defaultRowHeight="15"/>
  <cols>
    <col min="1" max="1" width="38.140625" customWidth="1"/>
    <col min="2" max="2" width="13.7109375" customWidth="1"/>
    <col min="3" max="3" width="14.85546875" customWidth="1"/>
    <col min="4" max="4" width="13.5703125" customWidth="1"/>
  </cols>
  <sheetData>
    <row r="1" spans="1:4">
      <c r="A1" s="9" t="s">
        <v>34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3895.5</v>
      </c>
      <c r="C3" s="9"/>
      <c r="D3" s="9"/>
    </row>
    <row r="4" spans="1:4">
      <c r="A4" s="3" t="s">
        <v>80</v>
      </c>
      <c r="B4" s="3">
        <v>1988</v>
      </c>
      <c r="C4" s="9"/>
      <c r="D4" s="9"/>
    </row>
    <row r="5" spans="1:4">
      <c r="A5" s="3" t="s">
        <v>81</v>
      </c>
      <c r="B5" s="3">
        <v>5</v>
      </c>
      <c r="C5" s="9"/>
      <c r="D5" s="9"/>
    </row>
    <row r="6" spans="1:4">
      <c r="A6" s="3" t="s">
        <v>79</v>
      </c>
      <c r="B6" s="3">
        <v>167</v>
      </c>
      <c r="C6" s="9"/>
      <c r="D6" s="9"/>
    </row>
    <row r="7" spans="1:4">
      <c r="A7" s="3" t="s">
        <v>82</v>
      </c>
      <c r="B7" s="15">
        <v>15</v>
      </c>
      <c r="C7" s="9"/>
      <c r="D7" s="9"/>
    </row>
    <row r="8" spans="1:4" ht="38.25">
      <c r="A8" s="1" t="s">
        <v>0</v>
      </c>
      <c r="B8" s="2" t="s">
        <v>1</v>
      </c>
      <c r="C8" s="2" t="s">
        <v>2</v>
      </c>
      <c r="D8" s="14" t="s">
        <v>84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>
        <f>(14*99+3*22+10.5+3*82.83+2*121.95+2*8.28+16.67+95)/43531.5*3895.5</f>
        <v>186.41199958650634</v>
      </c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960770.17*0.6/43531.5*3895.5</f>
        <v>51585.819885393335</v>
      </c>
      <c r="C13" s="3"/>
      <c r="D13" s="3"/>
    </row>
    <row r="14" spans="1:4">
      <c r="A14" s="3" t="s">
        <v>7</v>
      </c>
      <c r="B14" s="5">
        <f>B13*0.302</f>
        <v>15578.917605388788</v>
      </c>
      <c r="C14" s="3"/>
      <c r="D14" s="3"/>
    </row>
    <row r="15" spans="1:4">
      <c r="A15" s="6" t="s">
        <v>8</v>
      </c>
      <c r="B15" s="7">
        <f>SUM(B11:B14)</f>
        <v>67351.149490368625</v>
      </c>
      <c r="C15" s="7">
        <f>B15/3895.5</f>
        <v>17.289474904471472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>
        <f>(41*11+4*54)/43531.5*3286.6</f>
        <v>50.358067146778765</v>
      </c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204766*0.64/43531.5*3895.5</f>
        <v>11727.282770407637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3541.6393966631063</v>
      </c>
      <c r="C21" s="3"/>
      <c r="D21" s="5"/>
    </row>
    <row r="22" spans="1:4">
      <c r="A22" s="6" t="s">
        <v>8</v>
      </c>
      <c r="B22" s="7">
        <f>SUM(B17:B21)</f>
        <v>15319.280234217522</v>
      </c>
      <c r="C22" s="7">
        <f>B22/3895.5</f>
        <v>3.9325581399608578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189083.2/43531.5*3895.5</f>
        <v>16920.473808621344</v>
      </c>
      <c r="C24" s="7">
        <f>B24/3895.5</f>
        <v>4.3435948680840308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/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404239.93*0.64/43531.5*3895.5</f>
        <v>23151.480061141934</v>
      </c>
      <c r="C28" s="3"/>
      <c r="D28" s="5"/>
    </row>
    <row r="29" spans="1:4">
      <c r="A29" s="3" t="s">
        <v>15</v>
      </c>
      <c r="B29" s="5">
        <f>(134253+40544.4+265003.7+7080*12+356.81*7+15000)/43531.5*3895.5</f>
        <v>48525.068939388722</v>
      </c>
      <c r="C29" s="3"/>
      <c r="D29" s="3"/>
    </row>
    <row r="30" spans="1:4">
      <c r="A30" s="3" t="s">
        <v>7</v>
      </c>
      <c r="B30" s="5">
        <f>B28*0.302</f>
        <v>6991.7469784648638</v>
      </c>
      <c r="C30" s="3"/>
      <c r="D30" s="5"/>
    </row>
    <row r="31" spans="1:4">
      <c r="A31" s="6" t="s">
        <v>8</v>
      </c>
      <c r="B31" s="7">
        <f>SUM(B26:B30)</f>
        <v>78668.295978995506</v>
      </c>
      <c r="C31" s="7">
        <f>B31/3895.5</f>
        <v>20.194659473493903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49104.78/43531.5*3895.5</f>
        <v>4394.2356796802314</v>
      </c>
      <c r="C33" s="3"/>
      <c r="D33" s="5"/>
    </row>
    <row r="34" spans="1:4">
      <c r="A34" s="6" t="s">
        <v>8</v>
      </c>
      <c r="B34" s="7">
        <f>SUM(B33:B33)</f>
        <v>4394.2356796802314</v>
      </c>
      <c r="C34" s="7">
        <f>B34/3895.5</f>
        <v>1.1280286688949381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373535.28/43531.5*3895.5</f>
        <v>33426.522937183421</v>
      </c>
      <c r="C36" s="3"/>
      <c r="D36" s="5"/>
    </row>
    <row r="37" spans="1:4">
      <c r="A37" s="3" t="s">
        <v>20</v>
      </c>
      <c r="B37" s="5">
        <f>(26500+12150+8250+1040)/43531.5*3895.5</f>
        <v>4290.0031012025775</v>
      </c>
      <c r="C37" s="3"/>
      <c r="D37" s="5"/>
    </row>
    <row r="38" spans="1:4">
      <c r="A38" s="6" t="s">
        <v>8</v>
      </c>
      <c r="B38" s="7">
        <f>SUM(B36:B37)</f>
        <v>37716.526038386</v>
      </c>
      <c r="C38" s="7">
        <f>B38/3895.5</f>
        <v>9.6820757382585043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5">
        <v>161332</v>
      </c>
      <c r="C40" s="3"/>
      <c r="D40" s="5"/>
    </row>
    <row r="41" spans="1:4" ht="26.25">
      <c r="A41" s="8" t="s">
        <v>22</v>
      </c>
      <c r="B41" s="5">
        <v>83101.91</v>
      </c>
      <c r="C41" s="3"/>
      <c r="D41" s="5"/>
    </row>
    <row r="42" spans="1:4">
      <c r="A42" s="6" t="s">
        <v>8</v>
      </c>
      <c r="B42" s="7">
        <f>SUM(B40:B41)</f>
        <v>244433.91</v>
      </c>
      <c r="C42" s="7">
        <f>B42/3895.5</f>
        <v>62.747762803234501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1624587/43531.5*3895.5</f>
        <v>145379.29220219841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43904.546245063917</v>
      </c>
      <c r="C47" s="3"/>
      <c r="D47" s="5"/>
    </row>
    <row r="48" spans="1:4">
      <c r="A48" s="3" t="s">
        <v>25</v>
      </c>
      <c r="B48" s="5">
        <f>(26463.66+29574)/43531.5*3895.5</f>
        <v>5014.6377802281113</v>
      </c>
      <c r="C48" s="3"/>
      <c r="D48" s="5"/>
    </row>
    <row r="49" spans="1:4">
      <c r="A49" s="3" t="s">
        <v>26</v>
      </c>
      <c r="B49" s="5"/>
      <c r="C49" s="3"/>
      <c r="D49" s="5"/>
    </row>
    <row r="50" spans="1:4" ht="26.25">
      <c r="A50" s="8" t="s">
        <v>27</v>
      </c>
      <c r="B50" s="5">
        <f>10238.68/43531.5*3895.5</f>
        <v>916.22797146893629</v>
      </c>
      <c r="C50" s="3"/>
      <c r="D50" s="5"/>
    </row>
    <row r="51" spans="1:4">
      <c r="A51" s="3" t="s">
        <v>28</v>
      </c>
      <c r="B51" s="5">
        <f>36364/43531.5*3895.5</f>
        <v>3254.1024775162814</v>
      </c>
      <c r="C51" s="3"/>
      <c r="D51" s="5"/>
    </row>
    <row r="52" spans="1:4">
      <c r="A52" s="3" t="s">
        <v>29</v>
      </c>
      <c r="B52" s="5"/>
      <c r="C52" s="3"/>
      <c r="D52" s="3"/>
    </row>
    <row r="53" spans="1:4">
      <c r="A53" s="6" t="s">
        <v>8</v>
      </c>
      <c r="B53" s="7">
        <f>SUM(B44:B52)</f>
        <v>198468.80667647565</v>
      </c>
      <c r="C53" s="7">
        <f>B53/3895.5</f>
        <v>50.948224021685448</v>
      </c>
      <c r="D53" s="6"/>
    </row>
    <row r="54" spans="1:4">
      <c r="A54" s="3"/>
      <c r="B54" s="3"/>
      <c r="C54" s="3"/>
      <c r="D54" s="3"/>
    </row>
    <row r="55" spans="1:4">
      <c r="A55" s="6" t="s">
        <v>30</v>
      </c>
      <c r="B55" s="7">
        <f>B15+B22+B24+B31+B34+B38+B42+B53</f>
        <v>663272.67790674488</v>
      </c>
      <c r="C55" s="7">
        <f>C15+C22+C24+C31+C34+C38+C42+C53</f>
        <v>170.26637861808365</v>
      </c>
      <c r="D55" s="6"/>
    </row>
    <row r="56" spans="1:4">
      <c r="A56" s="3" t="s">
        <v>31</v>
      </c>
      <c r="B56" s="3">
        <v>-158112.37</v>
      </c>
      <c r="C56" s="3"/>
      <c r="D56" s="3"/>
    </row>
    <row r="57" spans="1:4">
      <c r="A57" s="3" t="s">
        <v>32</v>
      </c>
      <c r="B57" s="3">
        <v>694440</v>
      </c>
      <c r="C57" s="3"/>
      <c r="D57" s="3"/>
    </row>
    <row r="58" spans="1:4">
      <c r="A58" s="6" t="s">
        <v>96</v>
      </c>
      <c r="B58" s="6">
        <v>655289.71</v>
      </c>
      <c r="C58" s="6"/>
      <c r="D58" s="6"/>
    </row>
    <row r="59" spans="1:4">
      <c r="A59" s="16" t="s">
        <v>93</v>
      </c>
      <c r="B59" s="3">
        <v>23000.22</v>
      </c>
      <c r="C59" s="6"/>
      <c r="D59" s="6"/>
    </row>
    <row r="60" spans="1:4">
      <c r="A60" s="6" t="s">
        <v>98</v>
      </c>
      <c r="B60" s="6">
        <f>B58+B59</f>
        <v>678289.92999999993</v>
      </c>
      <c r="C60" s="6"/>
      <c r="D60" s="6"/>
    </row>
    <row r="61" spans="1:4">
      <c r="A61" s="6" t="s">
        <v>40</v>
      </c>
      <c r="B61" s="7">
        <f>B56+B60-B55</f>
        <v>-143095.11790674494</v>
      </c>
      <c r="C61" s="6"/>
      <c r="D61" s="6"/>
    </row>
  </sheetData>
  <mergeCells count="8">
    <mergeCell ref="A10:D10"/>
    <mergeCell ref="A16:D16"/>
    <mergeCell ref="A23:D23"/>
    <mergeCell ref="A25:D25"/>
    <mergeCell ref="A39:D39"/>
    <mergeCell ref="A43:D43"/>
    <mergeCell ref="A32:D32"/>
    <mergeCell ref="A35:D35"/>
  </mergeCells>
  <phoneticPr fontId="5" type="noConversion"/>
  <pageMargins left="0.7" right="0.7" top="0.75" bottom="0.75" header="0.3" footer="0.3"/>
  <pageSetup paperSize="9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D59"/>
  <sheetViews>
    <sheetView topLeftCell="A46" workbookViewId="0">
      <selection activeCell="A66" sqref="A66"/>
    </sheetView>
  </sheetViews>
  <sheetFormatPr defaultRowHeight="15"/>
  <cols>
    <col min="1" max="1" width="38.28515625" customWidth="1"/>
    <col min="2" max="2" width="13.7109375" customWidth="1"/>
    <col min="3" max="3" width="14.85546875" customWidth="1"/>
    <col min="4" max="4" width="13.5703125" customWidth="1"/>
  </cols>
  <sheetData>
    <row r="1" spans="1:4">
      <c r="A1" s="9" t="s">
        <v>69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443.1</v>
      </c>
      <c r="C3" s="9"/>
      <c r="D3" s="9"/>
    </row>
    <row r="4" spans="1:4">
      <c r="A4" s="3" t="s">
        <v>80</v>
      </c>
      <c r="B4" s="3">
        <v>1961</v>
      </c>
      <c r="C4" s="9"/>
      <c r="D4" s="9"/>
    </row>
    <row r="5" spans="1:4">
      <c r="A5" s="3" t="s">
        <v>81</v>
      </c>
      <c r="B5" s="3">
        <v>2</v>
      </c>
      <c r="C5" s="9"/>
      <c r="D5" s="9"/>
    </row>
    <row r="6" spans="1:4">
      <c r="A6" s="3" t="s">
        <v>79</v>
      </c>
      <c r="B6" s="3">
        <v>23</v>
      </c>
      <c r="C6" s="9"/>
      <c r="D6" s="9"/>
    </row>
    <row r="7" spans="1:4">
      <c r="A7" s="3" t="s">
        <v>82</v>
      </c>
      <c r="B7" s="5">
        <v>11.59</v>
      </c>
      <c r="C7" s="9"/>
      <c r="D7" s="9"/>
    </row>
    <row r="8" spans="1:4" ht="38.25">
      <c r="A8" s="1" t="s">
        <v>0</v>
      </c>
      <c r="B8" s="2" t="s">
        <v>1</v>
      </c>
      <c r="C8" s="2" t="s">
        <v>2</v>
      </c>
      <c r="D8" s="14" t="s">
        <v>70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/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960770.17*0.64/43531.5*443.1</f>
        <v>6258.8940856455683</v>
      </c>
      <c r="C13" s="3"/>
      <c r="D13" s="3"/>
    </row>
    <row r="14" spans="1:4">
      <c r="A14" s="3" t="s">
        <v>7</v>
      </c>
      <c r="B14" s="5">
        <f>B13*0.302</f>
        <v>1890.1860138649615</v>
      </c>
      <c r="C14" s="3"/>
      <c r="D14" s="3"/>
    </row>
    <row r="15" spans="1:4">
      <c r="A15" s="6" t="s">
        <v>8</v>
      </c>
      <c r="B15" s="7">
        <f>SUM(B11:B14)</f>
        <v>8149.0800995105301</v>
      </c>
      <c r="C15" s="7">
        <f>B15/443.1</f>
        <v>18.391063190048587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>
        <f>2*11</f>
        <v>22</v>
      </c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204766*0.5/43531.5*443.1</f>
        <v>1042.1397677543848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314.7262098618242</v>
      </c>
      <c r="C21" s="3"/>
      <c r="D21" s="5"/>
    </row>
    <row r="22" spans="1:4">
      <c r="A22" s="6" t="s">
        <v>8</v>
      </c>
      <c r="B22" s="7">
        <f>SUM(B17:B21)</f>
        <v>1378.865977616209</v>
      </c>
      <c r="C22" s="7">
        <f>B22/443.1</f>
        <v>3.1118618316772939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189083.2/43531.5*443.1</f>
        <v>1924.6468860480345</v>
      </c>
      <c r="C24" s="7">
        <f>B24/443.1</f>
        <v>4.3435948680840317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/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404239.93*0.64/43531.5*443.1</f>
        <v>2633.4028533158748</v>
      </c>
      <c r="C28" s="3"/>
      <c r="D28" s="5"/>
    </row>
    <row r="29" spans="1:4">
      <c r="A29" s="3" t="s">
        <v>15</v>
      </c>
      <c r="B29" s="5">
        <f>(134253+40544.4+265003.7+7080*12+356.81*7+15000)/43531.5*443.1</f>
        <v>5519.563097687882</v>
      </c>
      <c r="C29" s="3"/>
      <c r="D29" s="3"/>
    </row>
    <row r="30" spans="1:4">
      <c r="A30" s="3" t="s">
        <v>7</v>
      </c>
      <c r="B30" s="5">
        <f>B28*0.302</f>
        <v>795.2876617013942</v>
      </c>
      <c r="C30" s="3"/>
      <c r="D30" s="5"/>
    </row>
    <row r="31" spans="1:4">
      <c r="A31" s="6" t="s">
        <v>8</v>
      </c>
      <c r="B31" s="7">
        <f>SUM(B26:B30)</f>
        <v>8948.2536127051499</v>
      </c>
      <c r="C31" s="7">
        <f>B31/443.1</f>
        <v>20.194659473493907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49104.78/43531.5*443.1</f>
        <v>499.82950318734709</v>
      </c>
      <c r="C33" s="3"/>
      <c r="D33" s="5"/>
    </row>
    <row r="34" spans="1:4">
      <c r="A34" s="6" t="s">
        <v>8</v>
      </c>
      <c r="B34" s="7">
        <f>SUM(B33:B33)</f>
        <v>499.82950318734709</v>
      </c>
      <c r="C34" s="7">
        <f>B34/443.1</f>
        <v>1.1280286688949381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373535.28/43531.5*443.1</f>
        <v>3802.1543610488961</v>
      </c>
      <c r="C36" s="3"/>
      <c r="D36" s="5"/>
    </row>
    <row r="37" spans="1:4">
      <c r="A37" s="3" t="s">
        <v>20</v>
      </c>
      <c r="B37" s="5">
        <f>(26500+12150+8250+1040)/43531.5*443.1</f>
        <v>487.97339857344684</v>
      </c>
      <c r="C37" s="3"/>
      <c r="D37" s="5"/>
    </row>
    <row r="38" spans="1:4">
      <c r="A38" s="6" t="s">
        <v>8</v>
      </c>
      <c r="B38" s="7">
        <f>SUM(B36:B37)</f>
        <v>4290.1277596223426</v>
      </c>
      <c r="C38" s="7">
        <f>B38/443.1</f>
        <v>9.6820757382585025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10">
        <v>4845</v>
      </c>
      <c r="C40" s="3"/>
      <c r="D40" s="5"/>
    </row>
    <row r="41" spans="1:4" ht="26.25">
      <c r="A41" s="8" t="s">
        <v>22</v>
      </c>
      <c r="B41" s="5">
        <v>4557.07</v>
      </c>
      <c r="C41" s="3"/>
      <c r="D41" s="5"/>
    </row>
    <row r="42" spans="1:4">
      <c r="A42" s="6" t="s">
        <v>8</v>
      </c>
      <c r="B42" s="7">
        <f>SUM(B40:B41)</f>
        <v>9402.07</v>
      </c>
      <c r="C42" s="7">
        <f>B42/443.1</f>
        <v>21.218844504626492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1524587*0.7/43531.5*443.1</f>
        <v>10862.964744839943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3280.6153529416624</v>
      </c>
      <c r="C47" s="3"/>
      <c r="D47" s="5"/>
    </row>
    <row r="48" spans="1:4">
      <c r="A48" s="3" t="s">
        <v>25</v>
      </c>
      <c r="B48" s="5">
        <f>(26463.66+29574)/43531.5*443.1</f>
        <v>570.3981518210951</v>
      </c>
      <c r="C48" s="3"/>
      <c r="D48" s="5"/>
    </row>
    <row r="49" spans="1:4">
      <c r="A49" s="3" t="s">
        <v>26</v>
      </c>
      <c r="B49" s="5"/>
      <c r="C49" s="3"/>
      <c r="D49" s="5"/>
    </row>
    <row r="50" spans="1:4" ht="26.25">
      <c r="A50" s="8" t="s">
        <v>27</v>
      </c>
      <c r="B50" s="5">
        <f>10238.68/43531.5*443.1</f>
        <v>104.21784473312429</v>
      </c>
      <c r="C50" s="3"/>
      <c r="D50" s="5"/>
    </row>
    <row r="51" spans="1:4">
      <c r="A51" s="3" t="s">
        <v>28</v>
      </c>
      <c r="B51" s="5">
        <f>36364/43531.5*443.1</f>
        <v>370.14319286034254</v>
      </c>
      <c r="C51" s="3"/>
      <c r="D51" s="5"/>
    </row>
    <row r="52" spans="1:4">
      <c r="A52" s="3" t="s">
        <v>29</v>
      </c>
      <c r="B52" s="5"/>
      <c r="C52" s="3"/>
      <c r="D52" s="3"/>
    </row>
    <row r="53" spans="1:4">
      <c r="A53" s="6" t="s">
        <v>8</v>
      </c>
      <c r="B53" s="7">
        <f>SUM(B44:B52)</f>
        <v>15188.339287196168</v>
      </c>
      <c r="C53" s="7">
        <f>B53/443.1</f>
        <v>34.277452690580382</v>
      </c>
      <c r="D53" s="6"/>
    </row>
    <row r="54" spans="1:4">
      <c r="A54" s="3"/>
      <c r="B54" s="3"/>
      <c r="C54" s="3"/>
      <c r="D54" s="3"/>
    </row>
    <row r="55" spans="1:4">
      <c r="A55" s="6" t="s">
        <v>30</v>
      </c>
      <c r="B55" s="7">
        <f>B15+B22+B24+B31+B34+B38+B42+B53</f>
        <v>49781.213125885777</v>
      </c>
      <c r="C55" s="7">
        <f>C15+C22+C24+C31+C34+C38+C42+C53</f>
        <v>112.34758096566415</v>
      </c>
      <c r="D55" s="6"/>
    </row>
    <row r="56" spans="1:4">
      <c r="A56" s="3" t="s">
        <v>31</v>
      </c>
      <c r="B56" s="3">
        <v>-29336.34</v>
      </c>
      <c r="C56" s="3"/>
      <c r="D56" s="3"/>
    </row>
    <row r="57" spans="1:4">
      <c r="A57" s="3" t="s">
        <v>32</v>
      </c>
      <c r="B57" s="3">
        <v>61626.239999999998</v>
      </c>
      <c r="C57" s="3"/>
      <c r="D57" s="3"/>
    </row>
    <row r="58" spans="1:4">
      <c r="A58" s="6" t="s">
        <v>104</v>
      </c>
      <c r="B58" s="6">
        <v>54203.27</v>
      </c>
      <c r="C58" s="6"/>
      <c r="D58" s="6"/>
    </row>
    <row r="59" spans="1:4">
      <c r="A59" s="6" t="s">
        <v>40</v>
      </c>
      <c r="B59" s="7">
        <f>B56+B58-B55</f>
        <v>-24914.28312588578</v>
      </c>
      <c r="C59" s="6"/>
      <c r="D59" s="6"/>
    </row>
  </sheetData>
  <mergeCells count="8">
    <mergeCell ref="A43:D43"/>
    <mergeCell ref="A10:D10"/>
    <mergeCell ref="A16:D16"/>
    <mergeCell ref="A23:D23"/>
    <mergeCell ref="A25:D25"/>
    <mergeCell ref="A32:D32"/>
    <mergeCell ref="A35:D35"/>
    <mergeCell ref="A39:D39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D58"/>
  <sheetViews>
    <sheetView topLeftCell="A37" workbookViewId="0">
      <selection activeCell="G53" sqref="G53"/>
    </sheetView>
  </sheetViews>
  <sheetFormatPr defaultRowHeight="15"/>
  <cols>
    <col min="1" max="1" width="38.140625" customWidth="1"/>
    <col min="2" max="2" width="13.7109375" customWidth="1"/>
    <col min="3" max="3" width="14.85546875" customWidth="1"/>
    <col min="4" max="4" width="13.5703125" customWidth="1"/>
  </cols>
  <sheetData>
    <row r="1" spans="1:4">
      <c r="A1" s="9" t="s">
        <v>71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441.2</v>
      </c>
      <c r="C3" s="9"/>
      <c r="D3" s="9"/>
    </row>
    <row r="4" spans="1:4">
      <c r="A4" s="3" t="s">
        <v>80</v>
      </c>
      <c r="B4" s="3">
        <v>1961</v>
      </c>
      <c r="C4" s="9"/>
      <c r="D4" s="9"/>
    </row>
    <row r="5" spans="1:4">
      <c r="A5" s="3" t="s">
        <v>81</v>
      </c>
      <c r="B5" s="3">
        <v>2</v>
      </c>
      <c r="C5" s="9"/>
      <c r="D5" s="9"/>
    </row>
    <row r="6" spans="1:4">
      <c r="A6" s="3" t="s">
        <v>79</v>
      </c>
      <c r="B6" s="3">
        <v>18</v>
      </c>
      <c r="C6" s="9"/>
      <c r="D6" s="9"/>
    </row>
    <row r="7" spans="1:4">
      <c r="A7" s="3" t="s">
        <v>82</v>
      </c>
      <c r="B7" s="5">
        <v>11.59</v>
      </c>
      <c r="C7" s="9"/>
      <c r="D7" s="9"/>
    </row>
    <row r="8" spans="1:4" ht="38.25">
      <c r="A8" s="1" t="s">
        <v>0</v>
      </c>
      <c r="B8" s="2" t="s">
        <v>1</v>
      </c>
      <c r="C8" s="2" t="s">
        <v>2</v>
      </c>
      <c r="D8" s="13" t="s">
        <v>72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/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960770.17*0.64/43531.5*441.2</f>
        <v>6232.0561286093989</v>
      </c>
      <c r="C13" s="3"/>
      <c r="D13" s="3"/>
    </row>
    <row r="14" spans="1:4">
      <c r="A14" s="3" t="s">
        <v>7</v>
      </c>
      <c r="B14" s="5">
        <f>B13*0.302</f>
        <v>1882.0809508400384</v>
      </c>
      <c r="C14" s="3"/>
      <c r="D14" s="3"/>
    </row>
    <row r="15" spans="1:4">
      <c r="A15" s="6" t="s">
        <v>8</v>
      </c>
      <c r="B15" s="7">
        <f>SUM(B11:B14)</f>
        <v>8114.1370794494378</v>
      </c>
      <c r="C15" s="7">
        <f>B15/441.2</f>
        <v>18.391063190048591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>
        <f>2*11</f>
        <v>22</v>
      </c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204766*0.5/43531.5*441.2</f>
        <v>1037.6711025349459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313.37667296555367</v>
      </c>
      <c r="C21" s="3"/>
      <c r="D21" s="5"/>
    </row>
    <row r="22" spans="1:4">
      <c r="A22" s="6" t="s">
        <v>8</v>
      </c>
      <c r="B22" s="7">
        <f>SUM(B17:B21)</f>
        <v>1373.0477755004995</v>
      </c>
      <c r="C22" s="7">
        <f>B22/441.2</f>
        <v>3.1120756470999535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189083.2/43531.5*441.2</f>
        <v>1916.3940557986748</v>
      </c>
      <c r="C24" s="7">
        <f>B24/441.2</f>
        <v>4.3435948680840317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/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404239.93*0.64/43531.5*441.2</f>
        <v>2622.1108979529768</v>
      </c>
      <c r="C28" s="3"/>
      <c r="D28" s="5"/>
    </row>
    <row r="29" spans="1:4">
      <c r="A29" s="3" t="s">
        <v>15</v>
      </c>
      <c r="B29" s="5">
        <f>(134253+40544.4+265003.7+7080*12+356.81*7+15000)/43531.5*441.2</f>
        <v>5495.8953705707363</v>
      </c>
      <c r="C29" s="3"/>
      <c r="D29" s="3"/>
    </row>
    <row r="30" spans="1:4">
      <c r="A30" s="3" t="s">
        <v>7</v>
      </c>
      <c r="B30" s="5">
        <f>B28*0.302</f>
        <v>791.87749118179897</v>
      </c>
      <c r="C30" s="3"/>
      <c r="D30" s="5"/>
    </row>
    <row r="31" spans="1:4">
      <c r="A31" s="6" t="s">
        <v>8</v>
      </c>
      <c r="B31" s="7">
        <f>SUM(B26:B30)</f>
        <v>8909.8837597055117</v>
      </c>
      <c r="C31" s="7">
        <f>B31/441.2</f>
        <v>20.194659473493907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49104.78/43531.5*441.2</f>
        <v>497.6862487164467</v>
      </c>
      <c r="C33" s="3"/>
      <c r="D33" s="5"/>
    </row>
    <row r="34" spans="1:4">
      <c r="A34" s="6" t="s">
        <v>8</v>
      </c>
      <c r="B34" s="7">
        <f>SUM(B33:B33)</f>
        <v>497.6862487164467</v>
      </c>
      <c r="C34" s="7">
        <f>B34/441.2</f>
        <v>1.1280286688949381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373535.28/43531.5*441.2</f>
        <v>3785.8508329830124</v>
      </c>
      <c r="C36" s="3"/>
      <c r="D36" s="5"/>
    </row>
    <row r="37" spans="1:4">
      <c r="A37" s="3" t="s">
        <v>20</v>
      </c>
      <c r="B37" s="5">
        <f>(26500+12150+8250+1040)/43531.5*441.2</f>
        <v>485.88098273663894</v>
      </c>
      <c r="C37" s="3"/>
      <c r="D37" s="5"/>
    </row>
    <row r="38" spans="1:4">
      <c r="A38" s="6" t="s">
        <v>8</v>
      </c>
      <c r="B38" s="7">
        <f>SUM(B36:B37)</f>
        <v>4271.7318157196514</v>
      </c>
      <c r="C38" s="7">
        <f>B38/441.2</f>
        <v>9.6820757382585025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10">
        <v>7316</v>
      </c>
      <c r="C40" s="3"/>
      <c r="D40" s="5"/>
    </row>
    <row r="41" spans="1:4" ht="26.25">
      <c r="A41" s="8" t="s">
        <v>22</v>
      </c>
      <c r="B41" s="5"/>
      <c r="C41" s="3"/>
      <c r="D41" s="5"/>
    </row>
    <row r="42" spans="1:4">
      <c r="A42" s="6" t="s">
        <v>8</v>
      </c>
      <c r="B42" s="7">
        <f>SUM(B40:B41)</f>
        <v>7316</v>
      </c>
      <c r="C42" s="7">
        <f>B42/441.2</f>
        <v>16.582048957388938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1524587*0.7/43531.5*441.2</f>
        <v>10816.384665816706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3266.5481690766451</v>
      </c>
      <c r="C47" s="3"/>
      <c r="D47" s="5"/>
    </row>
    <row r="48" spans="1:4">
      <c r="A48" s="3" t="s">
        <v>25</v>
      </c>
      <c r="B48" s="5">
        <f>(26463.66+29574)/43531.5*441.2</f>
        <v>567.9523010233969</v>
      </c>
      <c r="C48" s="3"/>
      <c r="D48" s="5"/>
    </row>
    <row r="49" spans="1:4">
      <c r="A49" s="3" t="s">
        <v>26</v>
      </c>
      <c r="B49" s="5"/>
      <c r="C49" s="3"/>
      <c r="D49" s="5"/>
    </row>
    <row r="50" spans="1:4" ht="26.25">
      <c r="A50" s="8" t="s">
        <v>27</v>
      </c>
      <c r="B50" s="5">
        <f>10238.68/43531.5*441.2</f>
        <v>103.77096162548959</v>
      </c>
      <c r="C50" s="3"/>
      <c r="D50" s="5"/>
    </row>
    <row r="51" spans="1:4">
      <c r="A51" s="3" t="s">
        <v>28</v>
      </c>
      <c r="B51" s="5">
        <f>36364/43531.5*441.2</f>
        <v>368.55602954182604</v>
      </c>
      <c r="C51" s="3"/>
      <c r="D51" s="5"/>
    </row>
    <row r="52" spans="1:4">
      <c r="A52" s="3" t="s">
        <v>29</v>
      </c>
      <c r="B52" s="5"/>
      <c r="C52" s="3"/>
      <c r="D52" s="3"/>
    </row>
    <row r="53" spans="1:4">
      <c r="A53" s="6" t="s">
        <v>8</v>
      </c>
      <c r="B53" s="7">
        <f>SUM(B44:B52)</f>
        <v>15123.212127084062</v>
      </c>
      <c r="C53" s="7">
        <f>B53/441.2</f>
        <v>34.277452690580375</v>
      </c>
      <c r="D53" s="6"/>
    </row>
    <row r="54" spans="1:4">
      <c r="A54" s="6" t="s">
        <v>30</v>
      </c>
      <c r="B54" s="7">
        <f>B15+B22+B24+B31+B34+B38+B42+B53</f>
        <v>47522.092861974277</v>
      </c>
      <c r="C54" s="7">
        <f>C15+C22+C24+C31+C34+C38+C42+C53</f>
        <v>107.71099923384924</v>
      </c>
      <c r="D54" s="6"/>
    </row>
    <row r="55" spans="1:4">
      <c r="A55" s="3" t="s">
        <v>31</v>
      </c>
      <c r="B55" s="3">
        <v>-7145.42</v>
      </c>
      <c r="C55" s="3"/>
      <c r="D55" s="3"/>
    </row>
    <row r="56" spans="1:4">
      <c r="A56" s="3" t="s">
        <v>32</v>
      </c>
      <c r="B56" s="3">
        <v>61362.12</v>
      </c>
      <c r="C56" s="3"/>
      <c r="D56" s="3"/>
    </row>
    <row r="57" spans="1:4">
      <c r="A57" s="6" t="s">
        <v>105</v>
      </c>
      <c r="B57" s="6">
        <v>55112.91</v>
      </c>
      <c r="C57" s="6"/>
      <c r="D57" s="6"/>
    </row>
    <row r="58" spans="1:4">
      <c r="A58" s="6" t="s">
        <v>40</v>
      </c>
      <c r="B58" s="7">
        <f>B55+B57-B54</f>
        <v>445.39713802572805</v>
      </c>
      <c r="C58" s="6"/>
      <c r="D58" s="6"/>
    </row>
  </sheetData>
  <mergeCells count="8">
    <mergeCell ref="A43:D43"/>
    <mergeCell ref="A10:D10"/>
    <mergeCell ref="A16:D16"/>
    <mergeCell ref="A23:D23"/>
    <mergeCell ref="A25:D25"/>
    <mergeCell ref="A32:D32"/>
    <mergeCell ref="A35:D35"/>
    <mergeCell ref="A39:D39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D58"/>
  <sheetViews>
    <sheetView topLeftCell="A37" workbookViewId="0">
      <selection activeCell="G49" sqref="G49"/>
    </sheetView>
  </sheetViews>
  <sheetFormatPr defaultRowHeight="15"/>
  <cols>
    <col min="1" max="1" width="38.42578125" customWidth="1"/>
    <col min="2" max="2" width="13.7109375" customWidth="1"/>
    <col min="3" max="3" width="14.85546875" customWidth="1"/>
    <col min="4" max="4" width="13.5703125" customWidth="1"/>
  </cols>
  <sheetData>
    <row r="1" spans="1:4">
      <c r="A1" s="9" t="s">
        <v>73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455.3</v>
      </c>
      <c r="C3" s="9"/>
      <c r="D3" s="9"/>
    </row>
    <row r="4" spans="1:4">
      <c r="A4" s="3" t="s">
        <v>80</v>
      </c>
      <c r="B4" s="3">
        <v>1961</v>
      </c>
      <c r="C4" s="9"/>
      <c r="D4" s="9"/>
    </row>
    <row r="5" spans="1:4">
      <c r="A5" s="3" t="s">
        <v>81</v>
      </c>
      <c r="B5" s="3">
        <v>2</v>
      </c>
      <c r="C5" s="9"/>
      <c r="D5" s="9"/>
    </row>
    <row r="6" spans="1:4">
      <c r="A6" s="3" t="s">
        <v>79</v>
      </c>
      <c r="B6" s="3">
        <v>21</v>
      </c>
      <c r="C6" s="9"/>
      <c r="D6" s="9"/>
    </row>
    <row r="7" spans="1:4">
      <c r="A7" s="3" t="s">
        <v>82</v>
      </c>
      <c r="B7" s="5">
        <v>11.59</v>
      </c>
      <c r="C7" s="9"/>
      <c r="D7" s="9"/>
    </row>
    <row r="8" spans="1:4" ht="38.25">
      <c r="A8" s="1" t="s">
        <v>0</v>
      </c>
      <c r="B8" s="2" t="s">
        <v>1</v>
      </c>
      <c r="C8" s="2" t="s">
        <v>2</v>
      </c>
      <c r="D8" s="13" t="s">
        <v>74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/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960770.17*0.64/43531.5*455.3</f>
        <v>6431.2220202988656</v>
      </c>
      <c r="C13" s="3"/>
      <c r="D13" s="3"/>
    </row>
    <row r="14" spans="1:4">
      <c r="A14" s="3" t="s">
        <v>7</v>
      </c>
      <c r="B14" s="5">
        <f>B13*0.302</f>
        <v>1942.2290501302573</v>
      </c>
      <c r="C14" s="3"/>
      <c r="D14" s="3"/>
    </row>
    <row r="15" spans="1:4">
      <c r="A15" s="6" t="s">
        <v>8</v>
      </c>
      <c r="B15" s="7">
        <f>SUM(B11:B14)</f>
        <v>8373.4510704291224</v>
      </c>
      <c r="C15" s="7">
        <f>B15/455.3</f>
        <v>18.391063190048587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>
        <f>2*11</f>
        <v>22</v>
      </c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204766*0.5/43531.5*455.3</f>
        <v>1070.8333023213074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323.39165730103485</v>
      </c>
      <c r="C21" s="3"/>
      <c r="D21" s="5"/>
    </row>
    <row r="22" spans="1:4">
      <c r="A22" s="6" t="s">
        <v>8</v>
      </c>
      <c r="B22" s="7">
        <f>SUM(B17:B21)</f>
        <v>1416.2249596223423</v>
      </c>
      <c r="C22" s="7">
        <f>B22/455.3</f>
        <v>3.1105314289970178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189083.2/43531.5*455.3</f>
        <v>1977.6387434386597</v>
      </c>
      <c r="C24" s="7">
        <f>B24/455.3</f>
        <v>4.3435948680840317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/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404239.93*0.64/43531.5*455.3</f>
        <v>2705.9090930144839</v>
      </c>
      <c r="C28" s="3"/>
      <c r="D28" s="5"/>
    </row>
    <row r="29" spans="1:4">
      <c r="A29" s="3" t="s">
        <v>15</v>
      </c>
      <c r="B29" s="5">
        <f>(134253+40544.4+265003.7+7080*12+356.81*7+15000)/43531.5*455.3</f>
        <v>5671.5348191769181</v>
      </c>
      <c r="C29" s="3"/>
      <c r="D29" s="3"/>
    </row>
    <row r="30" spans="1:4">
      <c r="A30" s="3" t="s">
        <v>7</v>
      </c>
      <c r="B30" s="5">
        <f>B28*0.302</f>
        <v>817.18454609037417</v>
      </c>
      <c r="C30" s="3"/>
      <c r="D30" s="5"/>
    </row>
    <row r="31" spans="1:4">
      <c r="A31" s="6" t="s">
        <v>8</v>
      </c>
      <c r="B31" s="7">
        <f>SUM(B26:B30)</f>
        <v>9194.6284582817752</v>
      </c>
      <c r="C31" s="7">
        <f>B31/455.3</f>
        <v>20.194659473493907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49104.78/43531.5*455.3</f>
        <v>513.59145294786538</v>
      </c>
      <c r="C33" s="3"/>
      <c r="D33" s="5"/>
    </row>
    <row r="34" spans="1:4">
      <c r="A34" s="6" t="s">
        <v>8</v>
      </c>
      <c r="B34" s="7">
        <f>SUM(B33:B33)</f>
        <v>513.59145294786538</v>
      </c>
      <c r="C34" s="7">
        <f>B34/455.3</f>
        <v>1.1280286688949381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373535.28/43531.5*455.3</f>
        <v>3906.8401728403574</v>
      </c>
      <c r="C36" s="3"/>
      <c r="D36" s="5"/>
    </row>
    <row r="37" spans="1:4">
      <c r="A37" s="3" t="s">
        <v>20</v>
      </c>
      <c r="B37" s="5">
        <f>(26500+12150+8250+1040)/43531.5*455.3</f>
        <v>501.40891078873921</v>
      </c>
      <c r="C37" s="3"/>
      <c r="D37" s="5"/>
    </row>
    <row r="38" spans="1:4">
      <c r="A38" s="6" t="s">
        <v>8</v>
      </c>
      <c r="B38" s="7">
        <f>SUM(B36:B37)</f>
        <v>4408.2490836290963</v>
      </c>
      <c r="C38" s="7">
        <f>B38/455.3</f>
        <v>9.6820757382585025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10">
        <v>1457</v>
      </c>
      <c r="C40" s="3"/>
      <c r="D40" s="5"/>
    </row>
    <row r="41" spans="1:4" ht="26.25">
      <c r="A41" s="8" t="s">
        <v>22</v>
      </c>
      <c r="B41" s="10">
        <v>6980</v>
      </c>
      <c r="C41" s="3"/>
      <c r="D41" s="5"/>
    </row>
    <row r="42" spans="1:4">
      <c r="A42" s="6" t="s">
        <v>8</v>
      </c>
      <c r="B42" s="7">
        <f>SUM(B40:B41)</f>
        <v>8437</v>
      </c>
      <c r="C42" s="7">
        <f>B42/455.3</f>
        <v>18.530639139029212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1524587*0.7/43531.5*455.3</f>
        <v>11162.057883831249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3370.9414809170371</v>
      </c>
      <c r="C47" s="3"/>
      <c r="D47" s="5"/>
    </row>
    <row r="48" spans="1:4">
      <c r="A48" s="3" t="s">
        <v>25</v>
      </c>
      <c r="B48" s="5">
        <f>(26463.66+29574)/43531.5*455.3</f>
        <v>586.10308852210471</v>
      </c>
      <c r="C48" s="3"/>
      <c r="D48" s="5"/>
    </row>
    <row r="49" spans="1:4">
      <c r="A49" s="3" t="s">
        <v>26</v>
      </c>
      <c r="B49" s="5"/>
      <c r="C49" s="3"/>
      <c r="D49" s="5"/>
    </row>
    <row r="50" spans="1:4" ht="26.25">
      <c r="A50" s="8" t="s">
        <v>27</v>
      </c>
      <c r="B50" s="5">
        <f>10238.68/43531.5*455.3</f>
        <v>107.08730468741027</v>
      </c>
      <c r="C50" s="3"/>
      <c r="D50" s="5"/>
    </row>
    <row r="51" spans="1:4">
      <c r="A51" s="3" t="s">
        <v>28</v>
      </c>
      <c r="B51" s="5">
        <f>36364/43531.5*4</f>
        <v>3.3413964600346877</v>
      </c>
      <c r="C51" s="3"/>
      <c r="D51" s="5"/>
    </row>
    <row r="52" spans="1:4">
      <c r="A52" s="3" t="s">
        <v>29</v>
      </c>
      <c r="B52" s="5"/>
      <c r="C52" s="3"/>
      <c r="D52" s="3"/>
    </row>
    <row r="53" spans="1:4">
      <c r="A53" s="6" t="s">
        <v>8</v>
      </c>
      <c r="B53" s="7">
        <f>SUM(B44:B52)</f>
        <v>15229.531154417835</v>
      </c>
      <c r="C53" s="7">
        <f>B53/455.3</f>
        <v>33.449442465226959</v>
      </c>
      <c r="D53" s="6"/>
    </row>
    <row r="54" spans="1:4">
      <c r="A54" s="6" t="s">
        <v>30</v>
      </c>
      <c r="B54" s="7">
        <f>B15+B22+B24+B31+B34+B38+B42+B53</f>
        <v>49550.314922766695</v>
      </c>
      <c r="C54" s="7">
        <f>C15+C22+C24+C31+C34+C38+C42+C53</f>
        <v>108.83003497203316</v>
      </c>
      <c r="D54" s="6"/>
    </row>
    <row r="55" spans="1:4">
      <c r="A55" s="3" t="s">
        <v>31</v>
      </c>
      <c r="B55" s="3">
        <v>-21000.29</v>
      </c>
      <c r="C55" s="3"/>
      <c r="D55" s="3"/>
    </row>
    <row r="56" spans="1:4">
      <c r="A56" s="3" t="s">
        <v>32</v>
      </c>
      <c r="B56" s="3">
        <v>63309.36</v>
      </c>
      <c r="C56" s="3"/>
      <c r="D56" s="3"/>
    </row>
    <row r="57" spans="1:4">
      <c r="A57" s="6" t="s">
        <v>106</v>
      </c>
      <c r="B57" s="6">
        <v>51571.88</v>
      </c>
      <c r="C57" s="6"/>
      <c r="D57" s="6"/>
    </row>
    <row r="58" spans="1:4">
      <c r="A58" s="6" t="s">
        <v>40</v>
      </c>
      <c r="B58" s="7">
        <f>B55+B57-B54</f>
        <v>-18978.724922766698</v>
      </c>
      <c r="C58" s="6"/>
      <c r="D58" s="6"/>
    </row>
  </sheetData>
  <mergeCells count="8">
    <mergeCell ref="A43:D43"/>
    <mergeCell ref="A10:D10"/>
    <mergeCell ref="A16:D16"/>
    <mergeCell ref="A23:D23"/>
    <mergeCell ref="A25:D25"/>
    <mergeCell ref="A32:D32"/>
    <mergeCell ref="A35:D35"/>
    <mergeCell ref="A39:D39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D58"/>
  <sheetViews>
    <sheetView tabSelected="1" topLeftCell="A43" workbookViewId="0">
      <selection activeCell="C63" sqref="C63"/>
    </sheetView>
  </sheetViews>
  <sheetFormatPr defaultRowHeight="15"/>
  <cols>
    <col min="1" max="1" width="38.42578125" customWidth="1"/>
    <col min="2" max="2" width="13.7109375" customWidth="1"/>
    <col min="3" max="3" width="14.85546875" customWidth="1"/>
    <col min="4" max="4" width="13.5703125" customWidth="1"/>
  </cols>
  <sheetData>
    <row r="1" spans="1:4">
      <c r="A1" s="9" t="s">
        <v>75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600.6</v>
      </c>
      <c r="C3" s="9"/>
      <c r="D3" s="9"/>
    </row>
    <row r="4" spans="1:4">
      <c r="A4" s="3" t="s">
        <v>80</v>
      </c>
      <c r="B4" s="3">
        <v>1956</v>
      </c>
      <c r="C4" s="9"/>
      <c r="D4" s="9"/>
    </row>
    <row r="5" spans="1:4">
      <c r="A5" s="3" t="s">
        <v>81</v>
      </c>
      <c r="B5" s="3">
        <v>2</v>
      </c>
      <c r="C5" s="9"/>
      <c r="D5" s="9"/>
    </row>
    <row r="6" spans="1:4">
      <c r="A6" s="3" t="s">
        <v>79</v>
      </c>
      <c r="B6" s="3">
        <v>21</v>
      </c>
      <c r="C6" s="9"/>
      <c r="D6" s="9"/>
    </row>
    <row r="7" spans="1:4">
      <c r="A7" s="3" t="s">
        <v>82</v>
      </c>
      <c r="B7" s="5">
        <v>12.27</v>
      </c>
      <c r="C7" s="9"/>
      <c r="D7" s="9"/>
    </row>
    <row r="8" spans="1:4" ht="38.25">
      <c r="A8" s="1" t="s">
        <v>0</v>
      </c>
      <c r="B8" s="2" t="s">
        <v>1</v>
      </c>
      <c r="C8" s="2" t="s">
        <v>2</v>
      </c>
      <c r="D8" s="13" t="s">
        <v>76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/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960770.17*0.64/43531.5*600.6</f>
        <v>8483.6194715385427</v>
      </c>
      <c r="C13" s="3"/>
      <c r="D13" s="3"/>
    </row>
    <row r="14" spans="1:4">
      <c r="A14" s="3" t="s">
        <v>7</v>
      </c>
      <c r="B14" s="5">
        <f>B13*0.302</f>
        <v>2562.0530804046398</v>
      </c>
      <c r="C14" s="3"/>
      <c r="D14" s="3"/>
    </row>
    <row r="15" spans="1:4">
      <c r="A15" s="6" t="s">
        <v>8</v>
      </c>
      <c r="B15" s="7">
        <f>SUM(B11:B14)</f>
        <v>11045.672551943182</v>
      </c>
      <c r="C15" s="7">
        <f>B15/600.6</f>
        <v>18.391063190048587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>
        <f>2*11</f>
        <v>22</v>
      </c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204766*0.5/43531.5*600.6</f>
        <v>1412.5685951552323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426.59571573688015</v>
      </c>
      <c r="C21" s="3"/>
      <c r="D21" s="5"/>
    </row>
    <row r="22" spans="1:4">
      <c r="A22" s="6" t="s">
        <v>8</v>
      </c>
      <c r="B22" s="7">
        <f>SUM(B17:B21)</f>
        <v>1861.1643108921126</v>
      </c>
      <c r="C22" s="7">
        <f>B22/600.6</f>
        <v>3.0988416764770439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189083.2/43531.5*600.6</f>
        <v>2608.7630777712698</v>
      </c>
      <c r="C24" s="7">
        <f>B24/600.6</f>
        <v>4.3435948680840317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/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404239.93*0.64/43531.5*600.6</f>
        <v>3569.4465215561149</v>
      </c>
      <c r="C28" s="3"/>
      <c r="D28" s="5"/>
    </row>
    <row r="29" spans="1:4">
      <c r="A29" s="3" t="s">
        <v>15</v>
      </c>
      <c r="B29" s="5">
        <f>(134253+40544.4+265003.7+7080*12+356.81*7+15000)/43531.5*600.6</f>
        <v>7481.4931087143796</v>
      </c>
      <c r="C29" s="3"/>
      <c r="D29" s="3"/>
    </row>
    <row r="30" spans="1:4">
      <c r="A30" s="3" t="s">
        <v>7</v>
      </c>
      <c r="B30" s="5">
        <f>B28*0.302</f>
        <v>1077.9728495099466</v>
      </c>
      <c r="C30" s="3"/>
      <c r="D30" s="5"/>
    </row>
    <row r="31" spans="1:4">
      <c r="A31" s="6" t="s">
        <v>8</v>
      </c>
      <c r="B31" s="7">
        <f>SUM(B26:B30)</f>
        <v>12128.912479780442</v>
      </c>
      <c r="C31" s="7">
        <f>B31/600.6</f>
        <v>20.194659473493907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49104.78/43531.5*600.6</f>
        <v>677.49401853829988</v>
      </c>
      <c r="C33" s="3"/>
      <c r="D33" s="5"/>
    </row>
    <row r="34" spans="1:4">
      <c r="A34" s="6" t="s">
        <v>8</v>
      </c>
      <c r="B34" s="7">
        <f>SUM(B33:B33)</f>
        <v>677.49401853829988</v>
      </c>
      <c r="C34" s="7">
        <f>B34/600.6</f>
        <v>1.1280286688949381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373535.28/43531.5*600.6</f>
        <v>5153.6310296681722</v>
      </c>
      <c r="C36" s="3"/>
      <c r="D36" s="5"/>
    </row>
    <row r="37" spans="1:4">
      <c r="A37" s="3" t="s">
        <v>20</v>
      </c>
      <c r="B37" s="5">
        <f>(26500+12150+8250+1040)/43531.5*600.6</f>
        <v>661.42365872988523</v>
      </c>
      <c r="C37" s="3"/>
      <c r="D37" s="5"/>
    </row>
    <row r="38" spans="1:4">
      <c r="A38" s="6" t="s">
        <v>8</v>
      </c>
      <c r="B38" s="7">
        <f>SUM(B36:B37)</f>
        <v>5815.0546883980578</v>
      </c>
      <c r="C38" s="7">
        <f>B38/600.6</f>
        <v>9.6820757382585043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10">
        <v>76005</v>
      </c>
      <c r="C40" s="3"/>
      <c r="D40" s="5"/>
    </row>
    <row r="41" spans="1:4" ht="26.25">
      <c r="A41" s="8" t="s">
        <v>22</v>
      </c>
      <c r="B41" s="10">
        <v>3801.92</v>
      </c>
      <c r="C41" s="3"/>
      <c r="D41" s="5"/>
    </row>
    <row r="42" spans="1:4">
      <c r="A42" s="6" t="s">
        <v>8</v>
      </c>
      <c r="B42" s="7">
        <f>SUM(B40:B41)</f>
        <v>79806.92</v>
      </c>
      <c r="C42" s="7">
        <f>B42/600.6</f>
        <v>132.87865467865467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1524587*0.7/43531.5*600.6</f>
        <v>14724.208137555563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4446.7108575417797</v>
      </c>
      <c r="C47" s="3"/>
      <c r="D47" s="5"/>
    </row>
    <row r="48" spans="1:4">
      <c r="A48" s="3" t="s">
        <v>25</v>
      </c>
      <c r="B48" s="5">
        <f>(26463.66+29574)/43531.5*455.3</f>
        <v>586.10308852210471</v>
      </c>
      <c r="C48" s="3"/>
      <c r="D48" s="5"/>
    </row>
    <row r="49" spans="1:4">
      <c r="A49" s="3" t="s">
        <v>26</v>
      </c>
      <c r="B49" s="5"/>
      <c r="C49" s="3"/>
      <c r="D49" s="5"/>
    </row>
    <row r="50" spans="1:4" ht="26.25">
      <c r="A50" s="8" t="s">
        <v>27</v>
      </c>
      <c r="B50" s="5">
        <f>10238.68/43531.5*455.3</f>
        <v>107.08730468741027</v>
      </c>
      <c r="C50" s="3"/>
      <c r="D50" s="5"/>
    </row>
    <row r="51" spans="1:4">
      <c r="A51" s="3" t="s">
        <v>28</v>
      </c>
      <c r="B51" s="5">
        <f>36364/43531.5*4</f>
        <v>3.3413964600346877</v>
      </c>
      <c r="C51" s="3"/>
      <c r="D51" s="5"/>
    </row>
    <row r="52" spans="1:4">
      <c r="A52" s="3" t="s">
        <v>29</v>
      </c>
      <c r="B52" s="5"/>
      <c r="C52" s="3"/>
      <c r="D52" s="3"/>
    </row>
    <row r="53" spans="1:4">
      <c r="A53" s="6" t="s">
        <v>8</v>
      </c>
      <c r="B53" s="7">
        <f>SUM(B44:B52)</f>
        <v>19867.45078476689</v>
      </c>
      <c r="C53" s="7">
        <f>B53/600.6</f>
        <v>33.079338635975503</v>
      </c>
      <c r="D53" s="6"/>
    </row>
    <row r="54" spans="1:4">
      <c r="A54" s="6" t="s">
        <v>30</v>
      </c>
      <c r="B54" s="7">
        <f>B15+B22+B24+B31+B34+B38+B42+B53</f>
        <v>133811.43191209025</v>
      </c>
      <c r="C54" s="7">
        <f>C15+C22+C24+C31+C34+C38+C42+C53</f>
        <v>222.79625692988719</v>
      </c>
      <c r="D54" s="6"/>
    </row>
    <row r="55" spans="1:4">
      <c r="A55" s="3" t="s">
        <v>31</v>
      </c>
      <c r="B55" s="3">
        <v>-59976.17</v>
      </c>
      <c r="C55" s="3"/>
      <c r="D55" s="3"/>
    </row>
    <row r="56" spans="1:4">
      <c r="A56" s="3" t="s">
        <v>32</v>
      </c>
      <c r="B56" s="3">
        <v>88432.56</v>
      </c>
      <c r="C56" s="3"/>
      <c r="D56" s="3"/>
    </row>
    <row r="57" spans="1:4">
      <c r="A57" s="6" t="s">
        <v>106</v>
      </c>
      <c r="B57" s="6">
        <v>80799.81</v>
      </c>
      <c r="C57" s="6"/>
      <c r="D57" s="6"/>
    </row>
    <row r="58" spans="1:4">
      <c r="A58" s="6" t="s">
        <v>40</v>
      </c>
      <c r="B58" s="7">
        <f>B55+B57-B54</f>
        <v>-112987.79191209025</v>
      </c>
      <c r="C58" s="6"/>
      <c r="D58" s="6"/>
    </row>
  </sheetData>
  <mergeCells count="8">
    <mergeCell ref="A39:D39"/>
    <mergeCell ref="A43:D43"/>
    <mergeCell ref="A10:D10"/>
    <mergeCell ref="A16:D16"/>
    <mergeCell ref="A23:D23"/>
    <mergeCell ref="A25:D25"/>
    <mergeCell ref="A32:D32"/>
    <mergeCell ref="A35:D35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9"/>
  <sheetViews>
    <sheetView topLeftCell="A40" workbookViewId="0">
      <selection activeCell="B61" sqref="B61"/>
    </sheetView>
  </sheetViews>
  <sheetFormatPr defaultRowHeight="15"/>
  <cols>
    <col min="1" max="1" width="38.42578125" customWidth="1"/>
    <col min="2" max="2" width="13.7109375" customWidth="1"/>
    <col min="3" max="3" width="14.85546875" customWidth="1"/>
    <col min="4" max="4" width="13.5703125" customWidth="1"/>
  </cols>
  <sheetData>
    <row r="1" spans="1:4">
      <c r="A1" s="9" t="s">
        <v>94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2613</v>
      </c>
      <c r="C3" s="9"/>
      <c r="D3" s="9"/>
    </row>
    <row r="4" spans="1:4">
      <c r="A4" s="3" t="s">
        <v>80</v>
      </c>
      <c r="B4" s="3">
        <v>1995</v>
      </c>
      <c r="C4" s="9"/>
      <c r="D4" s="9"/>
    </row>
    <row r="5" spans="1:4">
      <c r="A5" s="3" t="s">
        <v>81</v>
      </c>
      <c r="B5" s="3">
        <v>5</v>
      </c>
      <c r="C5" s="9"/>
      <c r="D5" s="9"/>
    </row>
    <row r="6" spans="1:4">
      <c r="A6" s="3" t="s">
        <v>79</v>
      </c>
      <c r="B6" s="3">
        <v>108</v>
      </c>
      <c r="C6" s="9"/>
      <c r="D6" s="9"/>
    </row>
    <row r="7" spans="1:4">
      <c r="A7" s="3" t="s">
        <v>82</v>
      </c>
      <c r="B7" s="15">
        <v>15</v>
      </c>
      <c r="C7" s="9"/>
      <c r="D7" s="9"/>
    </row>
    <row r="8" spans="1:4" ht="38.25">
      <c r="A8" s="1" t="s">
        <v>0</v>
      </c>
      <c r="B8" s="2" t="s">
        <v>1</v>
      </c>
      <c r="C8" s="2" t="s">
        <v>2</v>
      </c>
      <c r="D8" s="14" t="s">
        <v>85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/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960770.17*0.7/43531.5*2613</f>
        <v>40369.496064849591</v>
      </c>
      <c r="C13" s="3"/>
      <c r="D13" s="3"/>
    </row>
    <row r="14" spans="1:4">
      <c r="A14" s="3" t="s">
        <v>7</v>
      </c>
      <c r="B14" s="5">
        <f>B13*0.302</f>
        <v>12191.587811584575</v>
      </c>
      <c r="C14" s="3"/>
      <c r="D14" s="3"/>
    </row>
    <row r="15" spans="1:4">
      <c r="A15" s="6" t="s">
        <v>8</v>
      </c>
      <c r="B15" s="7">
        <f>SUM(B11:B14)</f>
        <v>52561.083876434168</v>
      </c>
      <c r="C15" s="7">
        <f>B15/2613</f>
        <v>20.115225364115641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/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204766/43531.5*2613</f>
        <v>12291.181282519554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3711.9367473209049</v>
      </c>
      <c r="C21" s="3"/>
      <c r="D21" s="5"/>
    </row>
    <row r="22" spans="1:4">
      <c r="A22" s="6" t="s">
        <v>8</v>
      </c>
      <c r="B22" s="7">
        <f>SUM(B17:B21)</f>
        <v>16003.118029840458</v>
      </c>
      <c r="C22" s="7">
        <f>B22/2613</f>
        <v>6.1244232796940139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189083.2/43531.5*3895.5</f>
        <v>16920.473808621344</v>
      </c>
      <c r="C24" s="7">
        <f>B24/2613</f>
        <v>6.475497056494965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/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404239.93*0.8/43531.5*2613</f>
        <v>19411.762738982117</v>
      </c>
      <c r="C28" s="3"/>
      <c r="D28" s="5"/>
    </row>
    <row r="29" spans="1:4">
      <c r="A29" s="3" t="s">
        <v>15</v>
      </c>
      <c r="B29" s="5">
        <f>(134253+40544.4+265003.7+7080*12+356.81*7+15000)/43531.5*2613</f>
        <v>32549.353135315807</v>
      </c>
      <c r="C29" s="3"/>
      <c r="D29" s="3"/>
    </row>
    <row r="30" spans="1:4">
      <c r="A30" s="3" t="s">
        <v>7</v>
      </c>
      <c r="B30" s="5">
        <f>B28*0.302</f>
        <v>5862.3523471725994</v>
      </c>
      <c r="C30" s="3"/>
      <c r="D30" s="5"/>
    </row>
    <row r="31" spans="1:4">
      <c r="A31" s="6" t="s">
        <v>8</v>
      </c>
      <c r="B31" s="7">
        <f>SUM(B26:B30)</f>
        <v>57823.468221470524</v>
      </c>
      <c r="C31" s="7">
        <f>B31/2613</f>
        <v>22.129149721190405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49104.78/43531.5*2613</f>
        <v>2947.5389118224734</v>
      </c>
      <c r="C33" s="3"/>
      <c r="D33" s="5"/>
    </row>
    <row r="34" spans="1:4">
      <c r="A34" s="6" t="s">
        <v>8</v>
      </c>
      <c r="B34" s="7">
        <f>SUM(B33:B33)</f>
        <v>2947.5389118224734</v>
      </c>
      <c r="C34" s="7">
        <f>B34/2613</f>
        <v>1.1280286688949381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373535.28/43531.5*2613</f>
        <v>22421.641492712177</v>
      </c>
      <c r="C36" s="3"/>
      <c r="D36" s="5"/>
    </row>
    <row r="37" spans="1:4">
      <c r="A37" s="3" t="s">
        <v>20</v>
      </c>
      <c r="B37" s="5">
        <f>(26500+12150+8250+1040)/43531.5*2613</f>
        <v>2877.622411357293</v>
      </c>
      <c r="C37" s="3"/>
      <c r="D37" s="5"/>
    </row>
    <row r="38" spans="1:4">
      <c r="A38" s="6" t="s">
        <v>8</v>
      </c>
      <c r="B38" s="7">
        <f>SUM(B36:B37)</f>
        <v>25299.26390406947</v>
      </c>
      <c r="C38" s="7">
        <f>B38/2613</f>
        <v>9.6820757382585043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5">
        <v>80619</v>
      </c>
      <c r="C40" s="3"/>
      <c r="D40" s="5"/>
    </row>
    <row r="41" spans="1:4" ht="26.25">
      <c r="A41" s="8" t="s">
        <v>22</v>
      </c>
      <c r="B41" s="5">
        <v>3033.8</v>
      </c>
      <c r="C41" s="3"/>
      <c r="D41" s="5"/>
    </row>
    <row r="42" spans="1:4">
      <c r="A42" s="6" t="s">
        <v>8</v>
      </c>
      <c r="B42" s="7">
        <f>SUM(B40:B41)</f>
        <v>83652.800000000003</v>
      </c>
      <c r="C42" s="7">
        <f>B42/2613</f>
        <v>32.014083429008807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1624587/43531.5*2613</f>
        <v>97516.644981220496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29450.026784328587</v>
      </c>
      <c r="C47" s="3"/>
      <c r="D47" s="5"/>
    </row>
    <row r="48" spans="1:4">
      <c r="A48" s="3" t="s">
        <v>25</v>
      </c>
      <c r="B48" s="5">
        <f>(26463.66+29574)/43531.5*2613</f>
        <v>3363.6884917818134</v>
      </c>
      <c r="C48" s="3"/>
      <c r="D48" s="5"/>
    </row>
    <row r="49" spans="1:4">
      <c r="A49" s="3" t="s">
        <v>26</v>
      </c>
      <c r="B49" s="5"/>
      <c r="C49" s="3"/>
      <c r="D49" s="5"/>
    </row>
    <row r="50" spans="1:4" ht="26.25">
      <c r="A50" s="8" t="s">
        <v>27</v>
      </c>
      <c r="B50" s="5">
        <f>10238.68/43531.5*2613</f>
        <v>614.58187381551295</v>
      </c>
      <c r="C50" s="3"/>
      <c r="D50" s="5"/>
    </row>
    <row r="51" spans="1:4">
      <c r="A51" s="3" t="s">
        <v>28</v>
      </c>
      <c r="B51" s="5">
        <f>36364/43531.5*2613</f>
        <v>2182.7672375176599</v>
      </c>
      <c r="C51" s="3"/>
      <c r="D51" s="5"/>
    </row>
    <row r="52" spans="1:4">
      <c r="A52" s="3" t="s">
        <v>29</v>
      </c>
      <c r="B52" s="5"/>
      <c r="C52" s="3"/>
      <c r="D52" s="3"/>
    </row>
    <row r="53" spans="1:4">
      <c r="A53" s="6" t="s">
        <v>8</v>
      </c>
      <c r="B53" s="7">
        <f>SUM(B44:B52)</f>
        <v>133127.70936866404</v>
      </c>
      <c r="C53" s="7">
        <f>B53/2613</f>
        <v>50.948224021685434</v>
      </c>
      <c r="D53" s="6"/>
    </row>
    <row r="54" spans="1:4">
      <c r="A54" s="3"/>
      <c r="B54" s="3"/>
      <c r="C54" s="3"/>
      <c r="D54" s="3"/>
    </row>
    <row r="55" spans="1:4">
      <c r="A55" s="6" t="s">
        <v>30</v>
      </c>
      <c r="B55" s="7">
        <f>B15+B22+B24+B31+B34+B38+B42+B53</f>
        <v>388335.45612092246</v>
      </c>
      <c r="C55" s="7">
        <f>C15+C22+C24+C31+C34+C38+C42+C53</f>
        <v>148.61670727934271</v>
      </c>
      <c r="D55" s="6"/>
    </row>
    <row r="56" spans="1:4">
      <c r="A56" s="3" t="s">
        <v>31</v>
      </c>
      <c r="B56" s="3">
        <v>89670.53</v>
      </c>
      <c r="C56" s="3"/>
      <c r="D56" s="3"/>
    </row>
    <row r="57" spans="1:4">
      <c r="A57" s="3" t="s">
        <v>32</v>
      </c>
      <c r="B57" s="3">
        <v>470286</v>
      </c>
      <c r="C57" s="3"/>
      <c r="D57" s="3"/>
    </row>
    <row r="58" spans="1:4">
      <c r="A58" s="6" t="s">
        <v>108</v>
      </c>
      <c r="B58" s="6">
        <v>476428.68</v>
      </c>
      <c r="C58" s="6"/>
      <c r="D58" s="6"/>
    </row>
    <row r="59" spans="1:4">
      <c r="A59" s="6" t="s">
        <v>40</v>
      </c>
      <c r="B59" s="7">
        <f>B56+B58-B55</f>
        <v>177763.7538790775</v>
      </c>
      <c r="C59" s="6"/>
      <c r="D59" s="6"/>
    </row>
  </sheetData>
  <mergeCells count="8">
    <mergeCell ref="A43:D43"/>
    <mergeCell ref="A32:D32"/>
    <mergeCell ref="A35:D35"/>
    <mergeCell ref="A10:D10"/>
    <mergeCell ref="A16:D16"/>
    <mergeCell ref="A23:D23"/>
    <mergeCell ref="A25:D25"/>
    <mergeCell ref="A39:D39"/>
  </mergeCells>
  <phoneticPr fontId="5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9"/>
  <sheetViews>
    <sheetView topLeftCell="A40" workbookViewId="0">
      <selection activeCell="C60" sqref="C60"/>
    </sheetView>
  </sheetViews>
  <sheetFormatPr defaultRowHeight="15"/>
  <cols>
    <col min="1" max="1" width="38" customWidth="1"/>
    <col min="2" max="2" width="13.7109375" customWidth="1"/>
    <col min="3" max="3" width="14.85546875" customWidth="1"/>
    <col min="4" max="4" width="13.5703125" customWidth="1"/>
  </cols>
  <sheetData>
    <row r="1" spans="1:4">
      <c r="A1" s="9" t="s">
        <v>95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3932</v>
      </c>
      <c r="C3" s="9"/>
      <c r="D3" s="9"/>
    </row>
    <row r="4" spans="1:4">
      <c r="A4" s="3" t="s">
        <v>80</v>
      </c>
      <c r="B4" s="3">
        <v>1992</v>
      </c>
      <c r="C4" s="9"/>
      <c r="D4" s="9"/>
    </row>
    <row r="5" spans="1:4">
      <c r="A5" s="3" t="s">
        <v>81</v>
      </c>
      <c r="B5" s="3">
        <v>5</v>
      </c>
      <c r="C5" s="9"/>
      <c r="D5" s="9"/>
    </row>
    <row r="6" spans="1:4">
      <c r="A6" s="3" t="s">
        <v>79</v>
      </c>
      <c r="B6" s="3">
        <v>158</v>
      </c>
      <c r="C6" s="9"/>
      <c r="D6" s="9"/>
    </row>
    <row r="7" spans="1:4">
      <c r="A7" s="3" t="s">
        <v>82</v>
      </c>
      <c r="B7" s="15">
        <v>15</v>
      </c>
      <c r="C7" s="9"/>
      <c r="D7" s="9"/>
    </row>
    <row r="8" spans="1:4" ht="38.25">
      <c r="A8" s="1" t="s">
        <v>0</v>
      </c>
      <c r="B8" s="2" t="s">
        <v>1</v>
      </c>
      <c r="C8" s="2" t="s">
        <v>2</v>
      </c>
      <c r="D8" s="14" t="s">
        <v>86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>
        <f>4*82.83+174.3+0.5*21+4*54+22+2*8.95</f>
        <v>772.02</v>
      </c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960770.17*0.7/43531.5*3932</f>
        <v>60747.362620355372</v>
      </c>
      <c r="C13" s="3"/>
      <c r="D13" s="3"/>
    </row>
    <row r="14" spans="1:4">
      <c r="A14" s="3" t="s">
        <v>7</v>
      </c>
      <c r="B14" s="5">
        <f>B13*0.302</f>
        <v>18345.703511347321</v>
      </c>
      <c r="C14" s="3"/>
      <c r="D14" s="3"/>
    </row>
    <row r="15" spans="1:4">
      <c r="A15" s="6" t="s">
        <v>8</v>
      </c>
      <c r="B15" s="7">
        <f>SUM(B11:B14)</f>
        <v>79865.086131702687</v>
      </c>
      <c r="C15" s="7">
        <f>B15/3932</f>
        <v>20.311568192192951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>
        <f>30*11+6*99+3*127</f>
        <v>1305</v>
      </c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204766/43531.5*3932</f>
        <v>18495.570150350894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5585.6621854059695</v>
      </c>
      <c r="C21" s="3"/>
      <c r="D21" s="5"/>
    </row>
    <row r="22" spans="1:4">
      <c r="A22" s="6" t="s">
        <v>8</v>
      </c>
      <c r="B22" s="7">
        <f>SUM(B17:B21)</f>
        <v>25386.232335756864</v>
      </c>
      <c r="C22" s="7">
        <f>B22/3932</f>
        <v>6.4563154465302297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189083.2/43531.5*3932</f>
        <v>17079.015021306412</v>
      </c>
      <c r="C24" s="7">
        <f>B24/3932</f>
        <v>4.3435948680840317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/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404239.93*0.7/43531.5*3932</f>
        <v>25559.192385559883</v>
      </c>
      <c r="C28" s="3"/>
      <c r="D28" s="5"/>
    </row>
    <row r="29" spans="1:4">
      <c r="A29" s="3" t="s">
        <v>15</v>
      </c>
      <c r="B29" s="5">
        <f>(134253+40544.4+265003.7+7080*12+356.81*7+15000)/43531.5*3932</f>
        <v>48979.738434007559</v>
      </c>
      <c r="C29" s="3"/>
      <c r="D29" s="3"/>
    </row>
    <row r="30" spans="1:4">
      <c r="A30" s="3" t="s">
        <v>7</v>
      </c>
      <c r="B30" s="5">
        <f>B28*0.302</f>
        <v>7718.8761004390844</v>
      </c>
      <c r="C30" s="3"/>
      <c r="D30" s="5"/>
    </row>
    <row r="31" spans="1:4">
      <c r="A31" s="6" t="s">
        <v>8</v>
      </c>
      <c r="B31" s="7">
        <f>SUM(B26:B30)</f>
        <v>82257.806920006522</v>
      </c>
      <c r="C31" s="7">
        <f>B31/3932</f>
        <v>20.920093316380093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49104.78/43531.5*3932</f>
        <v>4435.4087260948963</v>
      </c>
      <c r="C33" s="3"/>
      <c r="D33" s="5"/>
    </row>
    <row r="34" spans="1:4">
      <c r="A34" s="6" t="s">
        <v>8</v>
      </c>
      <c r="B34" s="7">
        <f>SUM(B33:B33)</f>
        <v>4435.4087260948963</v>
      </c>
      <c r="C34" s="7">
        <f>B34/3932</f>
        <v>1.1280286688949381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373535.28/43531.5*3932</f>
        <v>33739.722292133287</v>
      </c>
      <c r="C36" s="3"/>
      <c r="D36" s="5"/>
    </row>
    <row r="37" spans="1:4">
      <c r="A37" s="3" t="s">
        <v>20</v>
      </c>
      <c r="B37" s="5">
        <f>(26500+12150+8250+1040)/43531.5*3932</f>
        <v>4330.199510699149</v>
      </c>
      <c r="C37" s="3"/>
      <c r="D37" s="5"/>
    </row>
    <row r="38" spans="1:4">
      <c r="A38" s="6" t="s">
        <v>8</v>
      </c>
      <c r="B38" s="7">
        <f>SUM(B36:B37)</f>
        <v>38069.921802832439</v>
      </c>
      <c r="C38" s="7">
        <f>B38/3932</f>
        <v>9.6820757382585043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5">
        <v>120227</v>
      </c>
      <c r="C40" s="3"/>
      <c r="D40" s="5"/>
    </row>
    <row r="41" spans="1:4" ht="26.25">
      <c r="A41" s="8" t="s">
        <v>22</v>
      </c>
      <c r="B41" s="5">
        <v>20143.13</v>
      </c>
      <c r="C41" s="3"/>
      <c r="D41" s="5"/>
    </row>
    <row r="42" spans="1:4">
      <c r="A42" s="6" t="s">
        <v>8</v>
      </c>
      <c r="B42" s="7">
        <f>SUM(B40:B41)</f>
        <v>140370.13</v>
      </c>
      <c r="C42" s="7">
        <f>B42/3932</f>
        <v>35.699422685656153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1624587/43531.5*3932</f>
        <v>146741.46500809758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44315.92243244547</v>
      </c>
      <c r="C47" s="3"/>
      <c r="D47" s="5"/>
    </row>
    <row r="48" spans="1:4">
      <c r="A48" s="3" t="s">
        <v>25</v>
      </c>
      <c r="B48" s="5">
        <f>(26463.66+29574)/43531.5*3932</f>
        <v>5061.6238613417872</v>
      </c>
      <c r="C48" s="3"/>
      <c r="D48" s="5"/>
    </row>
    <row r="49" spans="1:4">
      <c r="A49" s="3" t="s">
        <v>26</v>
      </c>
      <c r="B49" s="5"/>
      <c r="C49" s="3"/>
      <c r="D49" s="5"/>
    </row>
    <row r="50" spans="1:4" ht="26.25">
      <c r="A50" s="8" t="s">
        <v>27</v>
      </c>
      <c r="B50" s="5">
        <f>10238.68/43531.5*3932</f>
        <v>924.81283116823454</v>
      </c>
      <c r="C50" s="3"/>
      <c r="D50" s="5"/>
    </row>
    <row r="51" spans="1:4">
      <c r="A51" s="3" t="s">
        <v>28</v>
      </c>
      <c r="B51" s="5">
        <f>36364/43531.5*3932</f>
        <v>3284.5927202140979</v>
      </c>
      <c r="C51" s="3"/>
      <c r="D51" s="5"/>
    </row>
    <row r="52" spans="1:4">
      <c r="A52" s="3" t="s">
        <v>29</v>
      </c>
      <c r="B52" s="5"/>
      <c r="C52" s="3"/>
      <c r="D52" s="3"/>
    </row>
    <row r="53" spans="1:4">
      <c r="A53" s="6" t="s">
        <v>8</v>
      </c>
      <c r="B53" s="7">
        <f>SUM(B44:B52)</f>
        <v>200328.41685326718</v>
      </c>
      <c r="C53" s="7">
        <f>B53/3932</f>
        <v>50.948224021685448</v>
      </c>
      <c r="D53" s="6"/>
    </row>
    <row r="54" spans="1:4">
      <c r="A54" s="3"/>
      <c r="B54" s="3"/>
      <c r="C54" s="3"/>
      <c r="D54" s="3"/>
    </row>
    <row r="55" spans="1:4">
      <c r="A55" s="6" t="s">
        <v>30</v>
      </c>
      <c r="B55" s="7">
        <f>B15+B22+B24+B31+B34+B38+B42+B53</f>
        <v>587792.01779096702</v>
      </c>
      <c r="C55" s="7">
        <f>C15+C22+C24+C31+C34+C38+C42+C53</f>
        <v>149.48932293768235</v>
      </c>
      <c r="D55" s="6"/>
    </row>
    <row r="56" spans="1:4">
      <c r="A56" s="3" t="s">
        <v>31</v>
      </c>
      <c r="B56" s="3">
        <v>51606.5</v>
      </c>
      <c r="C56" s="3"/>
      <c r="D56" s="3"/>
    </row>
    <row r="57" spans="1:4">
      <c r="A57" s="3" t="s">
        <v>32</v>
      </c>
      <c r="B57" s="3">
        <v>701352</v>
      </c>
      <c r="C57" s="3"/>
      <c r="D57" s="3"/>
    </row>
    <row r="58" spans="1:4">
      <c r="A58" s="6" t="s">
        <v>109</v>
      </c>
      <c r="B58" s="6">
        <v>686029.48</v>
      </c>
      <c r="C58" s="6"/>
      <c r="D58" s="6"/>
    </row>
    <row r="59" spans="1:4">
      <c r="A59" s="6" t="s">
        <v>40</v>
      </c>
      <c r="B59" s="7">
        <f>B56+B58-B55</f>
        <v>149843.96220903296</v>
      </c>
      <c r="C59" s="6"/>
      <c r="D59" s="6"/>
    </row>
  </sheetData>
  <mergeCells count="8">
    <mergeCell ref="A10:D10"/>
    <mergeCell ref="A16:D16"/>
    <mergeCell ref="A23:D23"/>
    <mergeCell ref="A25:D25"/>
    <mergeCell ref="A39:D39"/>
    <mergeCell ref="A43:D43"/>
    <mergeCell ref="A32:D32"/>
    <mergeCell ref="A35:D35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59"/>
  <sheetViews>
    <sheetView topLeftCell="A46" workbookViewId="0">
      <selection activeCell="C67" sqref="C67"/>
    </sheetView>
  </sheetViews>
  <sheetFormatPr defaultRowHeight="15"/>
  <cols>
    <col min="1" max="1" width="38.28515625" customWidth="1"/>
    <col min="2" max="2" width="13.7109375" customWidth="1"/>
    <col min="3" max="3" width="14.85546875" customWidth="1"/>
    <col min="4" max="4" width="13.5703125" customWidth="1"/>
  </cols>
  <sheetData>
    <row r="1" spans="1:4">
      <c r="A1" s="9" t="s">
        <v>35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4244.3999999999996</v>
      </c>
      <c r="C3" s="9"/>
      <c r="D3" s="9"/>
    </row>
    <row r="4" spans="1:4">
      <c r="A4" s="3" t="s">
        <v>80</v>
      </c>
      <c r="B4" s="3">
        <v>1982</v>
      </c>
      <c r="C4" s="9"/>
      <c r="D4" s="9"/>
    </row>
    <row r="5" spans="1:4">
      <c r="A5" s="3" t="s">
        <v>81</v>
      </c>
      <c r="B5" s="3">
        <v>5</v>
      </c>
      <c r="C5" s="9"/>
      <c r="D5" s="9"/>
    </row>
    <row r="6" spans="1:4">
      <c r="A6" s="3" t="s">
        <v>79</v>
      </c>
      <c r="B6" s="3">
        <v>156</v>
      </c>
      <c r="C6" s="9"/>
      <c r="D6" s="9"/>
    </row>
    <row r="7" spans="1:4">
      <c r="A7" s="3" t="s">
        <v>82</v>
      </c>
      <c r="B7" s="15">
        <v>15</v>
      </c>
      <c r="C7" s="9"/>
      <c r="D7" s="9"/>
    </row>
    <row r="8" spans="1:4" ht="38.25">
      <c r="A8" s="1" t="s">
        <v>0</v>
      </c>
      <c r="B8" s="2" t="s">
        <v>1</v>
      </c>
      <c r="C8" s="2" t="s">
        <v>2</v>
      </c>
      <c r="D8" s="14" t="s">
        <v>87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>
        <f>2*82.83+3*34.07+2*22+1*2.77</f>
        <v>314.64</v>
      </c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960770.17*0.64/43531.5*4244.4</f>
        <v>59953.170970692947</v>
      </c>
      <c r="C13" s="3"/>
      <c r="D13" s="3"/>
    </row>
    <row r="14" spans="1:4">
      <c r="A14" s="3" t="s">
        <v>7</v>
      </c>
      <c r="B14" s="5">
        <f>B13*0.302</f>
        <v>18105.85763314927</v>
      </c>
      <c r="C14" s="3"/>
      <c r="D14" s="3"/>
    </row>
    <row r="15" spans="1:4">
      <c r="A15" s="6" t="s">
        <v>8</v>
      </c>
      <c r="B15" s="7">
        <f>SUM(B11:B14)</f>
        <v>78373.668603842219</v>
      </c>
      <c r="C15" s="7">
        <f>B15/4244.4</f>
        <v>18.465193809217375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>
        <f>36*11+21*99+1*54</f>
        <v>2529</v>
      </c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204766*0.7/43531.5*4244.4</f>
        <v>13975.538800179178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4220.6127176541113</v>
      </c>
      <c r="C21" s="3"/>
      <c r="D21" s="5"/>
    </row>
    <row r="22" spans="1:4">
      <c r="A22" s="6" t="s">
        <v>8</v>
      </c>
      <c r="B22" s="7">
        <f>SUM(B17:B21)</f>
        <v>20725.151517833292</v>
      </c>
      <c r="C22" s="7">
        <f>B22/4244.4</f>
        <v>4.8829402313244028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189083.2/43531.5*4244.4</f>
        <v>18435.954058095864</v>
      </c>
      <c r="C24" s="7">
        <f>B24/4244.4</f>
        <v>4.3435948680840317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/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404239.93*0.64/43531.5*4244.4</f>
        <v>25225.039653834119</v>
      </c>
      <c r="C28" s="3"/>
      <c r="D28" s="5"/>
    </row>
    <row r="29" spans="1:4">
      <c r="A29" s="3" t="s">
        <v>15</v>
      </c>
      <c r="B29" s="5">
        <f>(134253+40544.4+265003.7+7080*12+356.81*7+15000)/43531.5*4244.4</f>
        <v>52871.21104000551</v>
      </c>
      <c r="C29" s="3"/>
      <c r="D29" s="3"/>
    </row>
    <row r="30" spans="1:4">
      <c r="A30" s="3" t="s">
        <v>7</v>
      </c>
      <c r="B30" s="5">
        <f>B28*0.302</f>
        <v>7617.9619754579035</v>
      </c>
      <c r="C30" s="3"/>
      <c r="D30" s="5"/>
    </row>
    <row r="31" spans="1:4">
      <c r="A31" s="6" t="s">
        <v>8</v>
      </c>
      <c r="B31" s="7">
        <f>SUM(B26:B30)</f>
        <v>85714.212669297529</v>
      </c>
      <c r="C31" s="7">
        <f>B31/4244.4</f>
        <v>20.194659473493907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49104.78/43531.5*4244.4</f>
        <v>4787.8048822576748</v>
      </c>
      <c r="C33" s="3"/>
      <c r="D33" s="5"/>
    </row>
    <row r="34" spans="1:4">
      <c r="A34" s="6" t="s">
        <v>8</v>
      </c>
      <c r="B34" s="7">
        <f>SUM(B33:B33)</f>
        <v>4787.8048822576748</v>
      </c>
      <c r="C34" s="7">
        <f>B34/4244.4</f>
        <v>1.1280286688949381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373535.28/43531.5*4244.4</f>
        <v>36420.365538334307</v>
      </c>
      <c r="C36" s="3"/>
      <c r="D36" s="5"/>
    </row>
    <row r="37" spans="1:4">
      <c r="A37" s="3" t="s">
        <v>20</v>
      </c>
      <c r="B37" s="5">
        <f>(26500+12150+8250+1040)/43531.5*4244.4</f>
        <v>4674.2367251300775</v>
      </c>
      <c r="C37" s="3"/>
      <c r="D37" s="5"/>
    </row>
    <row r="38" spans="1:4">
      <c r="A38" s="6" t="s">
        <v>8</v>
      </c>
      <c r="B38" s="7">
        <f>SUM(B36:B37)</f>
        <v>41094.602263464381</v>
      </c>
      <c r="C38" s="7">
        <f>B38/4244.4</f>
        <v>9.6820757382585025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5">
        <v>378565</v>
      </c>
      <c r="C40" s="3"/>
      <c r="D40" s="5"/>
    </row>
    <row r="41" spans="1:4" ht="26.25">
      <c r="A41" s="8" t="s">
        <v>22</v>
      </c>
      <c r="B41" s="5">
        <v>43778.720000000001</v>
      </c>
      <c r="C41" s="3"/>
      <c r="D41" s="5"/>
    </row>
    <row r="42" spans="1:4">
      <c r="A42" s="6" t="s">
        <v>8</v>
      </c>
      <c r="B42" s="7">
        <f>SUM(B40:B41)</f>
        <v>422343.72</v>
      </c>
      <c r="C42" s="7">
        <f>B42/4244.4</f>
        <v>99.506106870229004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1624587/43531.5*4244.4</f>
        <v>158400.17143447849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47836.851773212504</v>
      </c>
      <c r="C47" s="3"/>
      <c r="D47" s="5"/>
    </row>
    <row r="48" spans="1:4">
      <c r="A48" s="3" t="s">
        <v>25</v>
      </c>
      <c r="B48" s="5">
        <f>(26463.66+29574)/43531.5*4244.4</f>
        <v>5463.7732240791147</v>
      </c>
      <c r="C48" s="3"/>
      <c r="D48" s="5"/>
    </row>
    <row r="49" spans="1:4">
      <c r="A49" s="3" t="s">
        <v>26</v>
      </c>
      <c r="B49" s="5"/>
      <c r="C49" s="3"/>
      <c r="D49" s="5"/>
    </row>
    <row r="50" spans="1:4" ht="26.25">
      <c r="A50" s="8" t="s">
        <v>27</v>
      </c>
      <c r="B50" s="5">
        <f>10238.68/43531.5*3932</f>
        <v>924.81283116823454</v>
      </c>
      <c r="C50" s="3"/>
      <c r="D50" s="5"/>
    </row>
    <row r="51" spans="1:4">
      <c r="A51" s="3" t="s">
        <v>28</v>
      </c>
      <c r="B51" s="5">
        <f>36364/43531.5*4244.4</f>
        <v>3545.5557837428069</v>
      </c>
      <c r="C51" s="3"/>
      <c r="D51" s="5"/>
    </row>
    <row r="52" spans="1:4">
      <c r="A52" s="3" t="s">
        <v>29</v>
      </c>
      <c r="B52" s="5"/>
      <c r="C52" s="3"/>
      <c r="D52" s="3"/>
    </row>
    <row r="53" spans="1:4">
      <c r="A53" s="6" t="s">
        <v>8</v>
      </c>
      <c r="B53" s="7">
        <f>SUM(B44:B52)</f>
        <v>216171.16504668113</v>
      </c>
      <c r="C53" s="7">
        <f>B53/4244.4</f>
        <v>50.930912507464221</v>
      </c>
      <c r="D53" s="6"/>
    </row>
    <row r="54" spans="1:4">
      <c r="A54" s="3"/>
      <c r="B54" s="3"/>
      <c r="C54" s="3"/>
      <c r="D54" s="3"/>
    </row>
    <row r="55" spans="1:4">
      <c r="A55" s="6" t="s">
        <v>30</v>
      </c>
      <c r="B55" s="7">
        <f>B15+B22+B24+B31+B34+B38+B42+B53</f>
        <v>887646.27904147212</v>
      </c>
      <c r="C55" s="7">
        <f>C15+C22+C24+C31+C34+C38+C42+C53</f>
        <v>209.1335121669664</v>
      </c>
      <c r="D55" s="6"/>
    </row>
    <row r="56" spans="1:4">
      <c r="A56" s="3" t="s">
        <v>31</v>
      </c>
      <c r="B56" s="3">
        <v>152970.64000000001</v>
      </c>
      <c r="C56" s="3"/>
      <c r="D56" s="3"/>
    </row>
    <row r="57" spans="1:4">
      <c r="A57" s="3" t="s">
        <v>32</v>
      </c>
      <c r="B57" s="3">
        <v>743058</v>
      </c>
      <c r="C57" s="3"/>
      <c r="D57" s="3"/>
    </row>
    <row r="58" spans="1:4">
      <c r="A58" s="6" t="s">
        <v>110</v>
      </c>
      <c r="B58" s="6">
        <v>707623.52</v>
      </c>
      <c r="C58" s="6"/>
      <c r="D58" s="6"/>
    </row>
    <row r="59" spans="1:4">
      <c r="A59" s="6" t="s">
        <v>40</v>
      </c>
      <c r="B59" s="7">
        <f>B56+B58-B55</f>
        <v>-27052.119041472091</v>
      </c>
      <c r="C59" s="6"/>
      <c r="D59" s="6"/>
    </row>
  </sheetData>
  <mergeCells count="8">
    <mergeCell ref="A43:D43"/>
    <mergeCell ref="A32:D32"/>
    <mergeCell ref="A35:D35"/>
    <mergeCell ref="A10:D10"/>
    <mergeCell ref="A16:D16"/>
    <mergeCell ref="A23:D23"/>
    <mergeCell ref="A25:D25"/>
    <mergeCell ref="A39:D39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59"/>
  <sheetViews>
    <sheetView topLeftCell="A40" workbookViewId="0">
      <selection activeCell="A58" sqref="A58"/>
    </sheetView>
  </sheetViews>
  <sheetFormatPr defaultRowHeight="15"/>
  <cols>
    <col min="1" max="1" width="38.42578125" customWidth="1"/>
    <col min="2" max="2" width="13.7109375" customWidth="1"/>
    <col min="3" max="3" width="14.85546875" customWidth="1"/>
    <col min="4" max="4" width="13.5703125" customWidth="1"/>
  </cols>
  <sheetData>
    <row r="1" spans="1:4">
      <c r="A1" s="9" t="s">
        <v>36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3233.7</v>
      </c>
      <c r="C3" s="9"/>
      <c r="D3" s="9"/>
    </row>
    <row r="4" spans="1:4">
      <c r="A4" s="3" t="s">
        <v>80</v>
      </c>
      <c r="B4" s="3">
        <v>1979</v>
      </c>
      <c r="C4" s="9"/>
      <c r="D4" s="9"/>
    </row>
    <row r="5" spans="1:4">
      <c r="A5" s="3" t="s">
        <v>81</v>
      </c>
      <c r="B5" s="3">
        <v>5</v>
      </c>
      <c r="C5" s="9"/>
      <c r="D5" s="9"/>
    </row>
    <row r="6" spans="1:4">
      <c r="A6" s="3" t="s">
        <v>79</v>
      </c>
      <c r="B6" s="3">
        <v>130</v>
      </c>
      <c r="C6" s="9"/>
      <c r="D6" s="9"/>
    </row>
    <row r="7" spans="1:4">
      <c r="A7" s="3" t="s">
        <v>82</v>
      </c>
      <c r="B7" s="15">
        <v>15</v>
      </c>
      <c r="C7" s="9"/>
      <c r="D7" s="9"/>
    </row>
    <row r="8" spans="1:4" ht="38.25">
      <c r="A8" s="1" t="s">
        <v>0</v>
      </c>
      <c r="B8" s="2" t="s">
        <v>1</v>
      </c>
      <c r="C8" s="2" t="s">
        <v>2</v>
      </c>
      <c r="D8" s="14" t="s">
        <v>88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>
        <f>2*121.95+2*8.95+127+3*95+3*22</f>
        <v>739.8</v>
      </c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960770.17*0.64/43531.5*3233.7</f>
        <v>45676.790351505464</v>
      </c>
      <c r="C13" s="3"/>
      <c r="D13" s="3"/>
    </row>
    <row r="14" spans="1:4">
      <c r="A14" s="3" t="s">
        <v>7</v>
      </c>
      <c r="B14" s="5">
        <f>B13*0.302</f>
        <v>13794.390686154649</v>
      </c>
      <c r="C14" s="3"/>
      <c r="D14" s="3"/>
    </row>
    <row r="15" spans="1:4">
      <c r="A15" s="6" t="s">
        <v>8</v>
      </c>
      <c r="B15" s="7">
        <f>SUM(B11:B14)</f>
        <v>60210.981037660116</v>
      </c>
      <c r="C15" s="7">
        <f>B15/3233.7</f>
        <v>18.619841369842632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>
        <f>50*11+17*99+2*54</f>
        <v>2341</v>
      </c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204766/43531.5*3233.7</f>
        <v>15210.866021157091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4593.6815383894418</v>
      </c>
      <c r="C21" s="3"/>
      <c r="D21" s="5"/>
    </row>
    <row r="22" spans="1:4">
      <c r="A22" s="6" t="s">
        <v>8</v>
      </c>
      <c r="B22" s="7">
        <f>SUM(B17:B21)</f>
        <v>22145.547559546532</v>
      </c>
      <c r="C22" s="7">
        <f>B22/3233.7</f>
        <v>6.848361802129614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189083.2/43531.5*3233.3</f>
        <v>14044.1452869761</v>
      </c>
      <c r="C24" s="7">
        <f>B24/3233.7</f>
        <v>4.3430575770714972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/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404239.93*0.64/43531.5*3233.3</f>
        <v>19215.93646045186</v>
      </c>
      <c r="C28" s="3"/>
      <c r="D28" s="5"/>
    </row>
    <row r="29" spans="1:4">
      <c r="A29" s="3" t="s">
        <v>15</v>
      </c>
      <c r="B29" s="5">
        <f>(134253+40544.4+265003.7+7080*12+356.81*7+15000)/43531.5*3233.3</f>
        <v>40276.243204139537</v>
      </c>
      <c r="C29" s="3"/>
      <c r="D29" s="3"/>
    </row>
    <row r="30" spans="1:4">
      <c r="A30" s="3" t="s">
        <v>7</v>
      </c>
      <c r="B30" s="5">
        <f>B28*0.302</f>
        <v>5803.2128110564618</v>
      </c>
      <c r="C30" s="3"/>
      <c r="D30" s="5"/>
    </row>
    <row r="31" spans="1:4">
      <c r="A31" s="6" t="s">
        <v>8</v>
      </c>
      <c r="B31" s="7">
        <f>SUM(B26:B30)</f>
        <v>65295.392475647859</v>
      </c>
      <c r="C31" s="7">
        <f>B31/3233.7</f>
        <v>20.192161448386635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49104.78/43531.5*3233.3</f>
        <v>3647.2550951380035</v>
      </c>
      <c r="C33" s="3"/>
      <c r="D33" s="5"/>
    </row>
    <row r="34" spans="1:4">
      <c r="A34" s="6" t="s">
        <v>8</v>
      </c>
      <c r="B34" s="7">
        <f>SUM(B33:B33)</f>
        <v>3647.2550951380035</v>
      </c>
      <c r="C34" s="7">
        <f>B34/3233.7</f>
        <v>1.1278891347799747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373535.28/43531.5*3233.3</f>
        <v>27744.314366010822</v>
      </c>
      <c r="C36" s="3"/>
      <c r="D36" s="5"/>
    </row>
    <row r="37" spans="1:4">
      <c r="A37" s="3" t="s">
        <v>20</v>
      </c>
      <c r="B37" s="5">
        <f>(26500+12150+8250+1040)/43531.5*3233.3</f>
        <v>3560.7411185003962</v>
      </c>
      <c r="C37" s="3"/>
      <c r="D37" s="5"/>
    </row>
    <row r="38" spans="1:4">
      <c r="A38" s="6" t="s">
        <v>8</v>
      </c>
      <c r="B38" s="7">
        <f>SUM(B36:B37)</f>
        <v>31305.055484511216</v>
      </c>
      <c r="C38" s="7">
        <f>B38/3233.7</f>
        <v>9.680878091508557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5">
        <v>241732</v>
      </c>
      <c r="C40" s="3"/>
      <c r="D40" s="5"/>
    </row>
    <row r="41" spans="1:4" ht="26.25">
      <c r="A41" s="8" t="s">
        <v>22</v>
      </c>
      <c r="B41" s="5">
        <v>33755.379999999997</v>
      </c>
      <c r="C41" s="3"/>
      <c r="D41" s="5"/>
    </row>
    <row r="42" spans="1:4">
      <c r="A42" s="6" t="s">
        <v>8</v>
      </c>
      <c r="B42" s="7">
        <f>SUM(B40:B41)</f>
        <v>275487.38</v>
      </c>
      <c r="C42" s="7">
        <f>B42/3233.7</f>
        <v>85.192621455298891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1624587/43531.5*3233.3</f>
        <v>120666.11872092624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36441.167853719722</v>
      </c>
      <c r="C47" s="3"/>
      <c r="D47" s="5"/>
    </row>
    <row r="48" spans="1:4">
      <c r="A48" s="3" t="s">
        <v>25</v>
      </c>
      <c r="B48" s="5">
        <f>(26463.66+29574)/43531.5*3233.7</f>
        <v>4162.7093286930158</v>
      </c>
      <c r="C48" s="3"/>
      <c r="D48" s="5"/>
    </row>
    <row r="49" spans="1:4">
      <c r="A49" s="3" t="s">
        <v>26</v>
      </c>
      <c r="B49" s="5"/>
      <c r="C49" s="3"/>
      <c r="D49" s="5"/>
    </row>
    <row r="50" spans="1:4" ht="26.25">
      <c r="A50" s="8" t="s">
        <v>27</v>
      </c>
      <c r="B50" s="5">
        <f>10238.68/43531.5*3233.3</f>
        <v>760.47744837646303</v>
      </c>
      <c r="C50" s="3"/>
      <c r="D50" s="5"/>
    </row>
    <row r="51" spans="1:4">
      <c r="A51" s="3" t="s">
        <v>28</v>
      </c>
      <c r="B51" s="5">
        <f>36364/43531.5*3233.3</f>
        <v>2700.9342935575391</v>
      </c>
      <c r="C51" s="3"/>
      <c r="D51" s="5"/>
    </row>
    <row r="52" spans="1:4">
      <c r="A52" s="3" t="s">
        <v>29</v>
      </c>
      <c r="B52" s="5"/>
      <c r="C52" s="3"/>
      <c r="D52" s="3"/>
    </row>
    <row r="53" spans="1:4">
      <c r="A53" s="6" t="s">
        <v>8</v>
      </c>
      <c r="B53" s="7">
        <f>SUM(B44:B52)</f>
        <v>164731.40764527296</v>
      </c>
      <c r="C53" s="7">
        <f>B53/3233.7</f>
        <v>50.942081097588819</v>
      </c>
      <c r="D53" s="6"/>
    </row>
    <row r="54" spans="1:4">
      <c r="A54" s="3"/>
      <c r="B54" s="3"/>
      <c r="C54" s="3"/>
      <c r="D54" s="3"/>
    </row>
    <row r="55" spans="1:4">
      <c r="A55" s="6" t="s">
        <v>30</v>
      </c>
      <c r="B55" s="7">
        <f>B15+B22+B24+B31+B34+B38+B42+B53</f>
        <v>636867.16458475287</v>
      </c>
      <c r="C55" s="7">
        <f>C15+C22+C24+C31+C34+C38+C42+C53</f>
        <v>196.94689197660662</v>
      </c>
      <c r="D55" s="6"/>
    </row>
    <row r="56" spans="1:4">
      <c r="A56" s="3" t="s">
        <v>31</v>
      </c>
      <c r="B56" s="3">
        <v>35463.550000000003</v>
      </c>
      <c r="C56" s="3"/>
      <c r="D56" s="3"/>
    </row>
    <row r="57" spans="1:4">
      <c r="A57" s="3" t="s">
        <v>32</v>
      </c>
      <c r="B57" s="3">
        <v>581850</v>
      </c>
      <c r="C57" s="3"/>
      <c r="D57" s="3"/>
    </row>
    <row r="58" spans="1:4">
      <c r="A58" s="6" t="s">
        <v>110</v>
      </c>
      <c r="B58" s="6">
        <v>563833.47</v>
      </c>
      <c r="C58" s="6"/>
      <c r="D58" s="6"/>
    </row>
    <row r="59" spans="1:4">
      <c r="A59" s="6" t="s">
        <v>40</v>
      </c>
      <c r="B59" s="7">
        <f>B56+B58-B55</f>
        <v>-37570.144584752852</v>
      </c>
      <c r="C59" s="6"/>
      <c r="D59" s="6"/>
    </row>
  </sheetData>
  <mergeCells count="8">
    <mergeCell ref="A43:D43"/>
    <mergeCell ref="A32:D32"/>
    <mergeCell ref="A35:D35"/>
    <mergeCell ref="A10:D10"/>
    <mergeCell ref="A16:D16"/>
    <mergeCell ref="A23:D23"/>
    <mergeCell ref="A25:D25"/>
    <mergeCell ref="A39:D39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9"/>
  <sheetViews>
    <sheetView topLeftCell="A43" workbookViewId="0">
      <selection activeCell="A64" sqref="A64"/>
    </sheetView>
  </sheetViews>
  <sheetFormatPr defaultRowHeight="15"/>
  <cols>
    <col min="1" max="1" width="38" customWidth="1"/>
    <col min="2" max="2" width="13.7109375" customWidth="1"/>
    <col min="3" max="3" width="14.85546875" customWidth="1"/>
    <col min="4" max="4" width="13.5703125" customWidth="1"/>
  </cols>
  <sheetData>
    <row r="1" spans="1:4">
      <c r="A1" s="9" t="s">
        <v>37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3031.8</v>
      </c>
      <c r="C3" s="9"/>
      <c r="D3" s="9"/>
    </row>
    <row r="4" spans="1:4">
      <c r="A4" s="3" t="s">
        <v>80</v>
      </c>
      <c r="B4" s="3">
        <v>1977</v>
      </c>
      <c r="C4" s="9"/>
      <c r="D4" s="9"/>
    </row>
    <row r="5" spans="1:4">
      <c r="A5" s="3" t="s">
        <v>81</v>
      </c>
      <c r="B5" s="3">
        <v>5</v>
      </c>
      <c r="C5" s="9"/>
      <c r="D5" s="9"/>
    </row>
    <row r="6" spans="1:4">
      <c r="A6" s="3" t="s">
        <v>79</v>
      </c>
      <c r="B6" s="3">
        <v>128</v>
      </c>
      <c r="C6" s="9"/>
      <c r="D6" s="9"/>
    </row>
    <row r="7" spans="1:4">
      <c r="A7" s="3" t="s">
        <v>82</v>
      </c>
      <c r="B7" s="15">
        <v>15</v>
      </c>
      <c r="C7" s="9"/>
      <c r="D7" s="9"/>
    </row>
    <row r="8" spans="1:4" ht="38.25">
      <c r="A8" s="1" t="s">
        <v>0</v>
      </c>
      <c r="B8" s="2" t="s">
        <v>1</v>
      </c>
      <c r="C8" s="2" t="s">
        <v>2</v>
      </c>
      <c r="D8" s="14" t="s">
        <v>38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>
        <f>4*82.83+174.3+0.5*21+4*54+22+2*8.95</f>
        <v>772.02</v>
      </c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960770.17*0.64/43531.5*3031.8</f>
        <v>42824.904285398858</v>
      </c>
      <c r="C13" s="3"/>
      <c r="D13" s="3"/>
    </row>
    <row r="14" spans="1:4">
      <c r="A14" s="3" t="s">
        <v>7</v>
      </c>
      <c r="B14" s="5">
        <f>B13*0.302</f>
        <v>12933.121094190454</v>
      </c>
      <c r="C14" s="3"/>
      <c r="D14" s="3"/>
    </row>
    <row r="15" spans="1:4">
      <c r="A15" s="6" t="s">
        <v>8</v>
      </c>
      <c r="B15" s="7">
        <f>SUM(B11:B14)</f>
        <v>56530.045379589312</v>
      </c>
      <c r="C15" s="7">
        <f>B15/3031.8</f>
        <v>18.645703997489711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>
        <f>30*11+6*99+3*127</f>
        <v>1305</v>
      </c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204766/43531.5*3031.8</f>
        <v>14261.157065573205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4306.8694338031073</v>
      </c>
      <c r="C21" s="3"/>
      <c r="D21" s="5"/>
    </row>
    <row r="22" spans="1:4">
      <c r="A22" s="6" t="s">
        <v>8</v>
      </c>
      <c r="B22" s="7">
        <f>SUM(B17:B21)</f>
        <v>19873.026499376312</v>
      </c>
      <c r="C22" s="7">
        <f>B22/3031.8</f>
        <v>6.5548606436362267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189083.2/43531.5*3031.8</f>
        <v>13168.910921057168</v>
      </c>
      <c r="C24" s="7">
        <f>B24/3031.8</f>
        <v>4.3435948680840317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/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404239.93*0.64/43531.5*3031.8</f>
        <v>18018.394878544506</v>
      </c>
      <c r="C28" s="3"/>
      <c r="D28" s="5"/>
    </row>
    <row r="29" spans="1:4">
      <c r="A29" s="3" t="s">
        <v>15</v>
      </c>
      <c r="B29" s="5">
        <f>(134253+40544.4+265003.7+7080*12+356.81*7+15000)/43531.5*3031.8</f>
        <v>37766.21845987389</v>
      </c>
      <c r="C29" s="3"/>
      <c r="D29" s="3"/>
    </row>
    <row r="30" spans="1:4">
      <c r="A30" s="3" t="s">
        <v>7</v>
      </c>
      <c r="B30" s="5">
        <f>B28*0.302</f>
        <v>5441.5552533204409</v>
      </c>
      <c r="C30" s="3"/>
      <c r="D30" s="5"/>
    </row>
    <row r="31" spans="1:4">
      <c r="A31" s="6" t="s">
        <v>8</v>
      </c>
      <c r="B31" s="7">
        <f>SUM(B26:B30)</f>
        <v>61226.168591738831</v>
      </c>
      <c r="C31" s="7">
        <f>B31/3031.8</f>
        <v>20.194659473493907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49104.78/43531.5*3031.8</f>
        <v>3419.9573183556736</v>
      </c>
      <c r="C33" s="3"/>
      <c r="D33" s="5"/>
    </row>
    <row r="34" spans="1:4">
      <c r="A34" s="6" t="s">
        <v>8</v>
      </c>
      <c r="B34" s="7">
        <f>SUM(B33:B33)</f>
        <v>3419.9573183556736</v>
      </c>
      <c r="C34" s="7">
        <f>B34/3031.8</f>
        <v>1.1280286688949381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373535.28/43531.5*3031.8</f>
        <v>26015.28231060267</v>
      </c>
      <c r="C36" s="3"/>
      <c r="D36" s="5"/>
    </row>
    <row r="37" spans="1:4">
      <c r="A37" s="3" t="s">
        <v>20</v>
      </c>
      <c r="B37" s="5">
        <f>(26500+12150+8250+1040)/43531.5*3031.8</f>
        <v>3338.8349126494609</v>
      </c>
      <c r="C37" s="3"/>
      <c r="D37" s="5"/>
    </row>
    <row r="38" spans="1:4">
      <c r="A38" s="6" t="s">
        <v>8</v>
      </c>
      <c r="B38" s="7">
        <f>SUM(B36:B37)</f>
        <v>29354.117223252131</v>
      </c>
      <c r="C38" s="7">
        <f>B38/3031.8</f>
        <v>9.6820757382585025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10">
        <v>141869</v>
      </c>
      <c r="C40" s="3"/>
      <c r="D40" s="5"/>
    </row>
    <row r="41" spans="1:4" ht="26.25">
      <c r="A41" s="8" t="s">
        <v>22</v>
      </c>
      <c r="B41" s="5">
        <v>44096.03</v>
      </c>
      <c r="C41" s="3"/>
      <c r="D41" s="5"/>
    </row>
    <row r="42" spans="1:4">
      <c r="A42" s="6" t="s">
        <v>8</v>
      </c>
      <c r="B42" s="7">
        <f>SUM(B40:B41)</f>
        <v>185965.03</v>
      </c>
      <c r="C42" s="7">
        <f>B42/3031.8</f>
        <v>61.338158849528327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1624587/43531.5*3031.8</f>
        <v>113146.17843630476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34170.14588776404</v>
      </c>
      <c r="C47" s="3"/>
      <c r="D47" s="5"/>
    </row>
    <row r="48" spans="1:4">
      <c r="A48" s="3" t="s">
        <v>25</v>
      </c>
      <c r="B48" s="5">
        <f>(26463.66+29574)/43531.5*3031.8</f>
        <v>3902.8054991902422</v>
      </c>
      <c r="C48" s="3"/>
      <c r="D48" s="5"/>
    </row>
    <row r="49" spans="1:4">
      <c r="A49" s="3" t="s">
        <v>26</v>
      </c>
      <c r="B49" s="5"/>
      <c r="C49" s="3"/>
      <c r="D49" s="5"/>
    </row>
    <row r="50" spans="1:4" ht="26.25">
      <c r="A50" s="8" t="s">
        <v>27</v>
      </c>
      <c r="B50" s="5">
        <f>10238.68/43531.5*3031.8</f>
        <v>713.08431880362502</v>
      </c>
      <c r="C50" s="3"/>
      <c r="D50" s="5"/>
    </row>
    <row r="51" spans="1:4">
      <c r="A51" s="3" t="s">
        <v>28</v>
      </c>
      <c r="B51" s="5">
        <f>36364/43531.5*3031.8</f>
        <v>2532.6114468832916</v>
      </c>
      <c r="C51" s="3"/>
      <c r="D51" s="5"/>
    </row>
    <row r="52" spans="1:4">
      <c r="A52" s="3" t="s">
        <v>29</v>
      </c>
      <c r="B52" s="5"/>
      <c r="C52" s="3"/>
      <c r="D52" s="3"/>
    </row>
    <row r="53" spans="1:4">
      <c r="A53" s="6" t="s">
        <v>8</v>
      </c>
      <c r="B53" s="7">
        <f>SUM(B44:B52)</f>
        <v>154464.82558894594</v>
      </c>
      <c r="C53" s="7">
        <f>B53/3031.8</f>
        <v>50.948224021685448</v>
      </c>
      <c r="D53" s="6"/>
    </row>
    <row r="54" spans="1:4">
      <c r="A54" s="3"/>
      <c r="B54" s="3"/>
      <c r="C54" s="3"/>
      <c r="D54" s="3"/>
    </row>
    <row r="55" spans="1:4">
      <c r="A55" s="6" t="s">
        <v>30</v>
      </c>
      <c r="B55" s="7">
        <f>B15+B22+B24+B31+B34+B38+B42+B53</f>
        <v>524002.08152231533</v>
      </c>
      <c r="C55" s="7">
        <f>C15+C22+C24+C31+C34+C38+C42+C53</f>
        <v>172.83530626107108</v>
      </c>
      <c r="D55" s="6"/>
    </row>
    <row r="56" spans="1:4">
      <c r="A56" s="3" t="s">
        <v>31</v>
      </c>
      <c r="B56" s="3">
        <v>-5813.71</v>
      </c>
      <c r="C56" s="3"/>
      <c r="D56" s="3"/>
    </row>
    <row r="57" spans="1:4">
      <c r="A57" s="3" t="s">
        <v>32</v>
      </c>
      <c r="B57" s="3">
        <v>545670</v>
      </c>
      <c r="C57" s="3"/>
      <c r="D57" s="3"/>
    </row>
    <row r="58" spans="1:4">
      <c r="A58" s="6" t="s">
        <v>106</v>
      </c>
      <c r="B58" s="6">
        <v>527214.07999999996</v>
      </c>
      <c r="C58" s="6"/>
      <c r="D58" s="6"/>
    </row>
    <row r="59" spans="1:4">
      <c r="A59" s="6" t="s">
        <v>40</v>
      </c>
      <c r="B59" s="7">
        <f>B56+B58-B55</f>
        <v>-2601.711522315396</v>
      </c>
      <c r="C59" s="6"/>
      <c r="D59" s="6"/>
    </row>
  </sheetData>
  <mergeCells count="8">
    <mergeCell ref="A39:D39"/>
    <mergeCell ref="A43:D43"/>
    <mergeCell ref="A10:D10"/>
    <mergeCell ref="A16:D16"/>
    <mergeCell ref="A23:D23"/>
    <mergeCell ref="A25:D25"/>
    <mergeCell ref="A32:D32"/>
    <mergeCell ref="A35:D35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59"/>
  <sheetViews>
    <sheetView topLeftCell="A40" workbookViewId="0">
      <selection activeCell="F61" sqref="F61"/>
    </sheetView>
  </sheetViews>
  <sheetFormatPr defaultRowHeight="15"/>
  <cols>
    <col min="1" max="1" width="38.28515625" customWidth="1"/>
    <col min="2" max="2" width="13.7109375" customWidth="1"/>
    <col min="3" max="3" width="14.85546875" customWidth="1"/>
    <col min="4" max="4" width="13.5703125" customWidth="1"/>
  </cols>
  <sheetData>
    <row r="1" spans="1:4">
      <c r="A1" s="9" t="s">
        <v>41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599.20000000000005</v>
      </c>
      <c r="C3" s="9"/>
      <c r="D3" s="9"/>
    </row>
    <row r="4" spans="1:4">
      <c r="A4" s="3" t="s">
        <v>80</v>
      </c>
      <c r="B4" s="3">
        <v>1963</v>
      </c>
      <c r="C4" s="9"/>
      <c r="D4" s="9"/>
    </row>
    <row r="5" spans="1:4">
      <c r="A5" s="3" t="s">
        <v>81</v>
      </c>
      <c r="B5" s="3">
        <v>2</v>
      </c>
      <c r="C5" s="9"/>
      <c r="D5" s="9"/>
    </row>
    <row r="6" spans="1:4">
      <c r="A6" s="3" t="s">
        <v>79</v>
      </c>
      <c r="B6" s="3">
        <v>25</v>
      </c>
      <c r="C6" s="9"/>
      <c r="D6" s="9"/>
    </row>
    <row r="7" spans="1:4">
      <c r="A7" s="3" t="s">
        <v>82</v>
      </c>
      <c r="B7" s="15">
        <v>15</v>
      </c>
      <c r="C7" s="9"/>
      <c r="D7" s="9"/>
    </row>
    <row r="8" spans="1:4" ht="38.25">
      <c r="A8" s="1" t="s">
        <v>0</v>
      </c>
      <c r="B8" s="2" t="s">
        <v>1</v>
      </c>
      <c r="C8" s="2" t="s">
        <v>2</v>
      </c>
      <c r="D8" s="13" t="s">
        <v>39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>
        <f>1*6.89+2*46.75+1*4.75</f>
        <v>105.14</v>
      </c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960770.17*0.7/43531.5*599.2</f>
        <v>9257.3295224102094</v>
      </c>
      <c r="C13" s="3"/>
      <c r="D13" s="3"/>
    </row>
    <row r="14" spans="1:4">
      <c r="A14" s="3" t="s">
        <v>7</v>
      </c>
      <c r="B14" s="5">
        <f>B13*0.302</f>
        <v>2795.7135157678831</v>
      </c>
      <c r="C14" s="3"/>
      <c r="D14" s="3"/>
    </row>
    <row r="15" spans="1:4">
      <c r="A15" s="6" t="s">
        <v>8</v>
      </c>
      <c r="B15" s="7">
        <f>SUM(B11:B14)</f>
        <v>12158.183038178093</v>
      </c>
      <c r="C15" s="7">
        <f>B15/599.2</f>
        <v>20.290692653835269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>
        <f>1*11</f>
        <v>11</v>
      </c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204766*0.64/43531.5*599.2</f>
        <v>1803.8731449180482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544.76968976525052</v>
      </c>
      <c r="C21" s="3"/>
      <c r="D21" s="5"/>
    </row>
    <row r="22" spans="1:4">
      <c r="A22" s="6" t="s">
        <v>8</v>
      </c>
      <c r="B22" s="7">
        <f>SUM(B17:B21)</f>
        <v>2359.6428346832986</v>
      </c>
      <c r="C22" s="7">
        <f>B22/599.2</f>
        <v>3.9379887094180548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189083.2/43531.5*599.2</f>
        <v>2602.6820449559518</v>
      </c>
      <c r="C24" s="7">
        <f>B24/599.2</f>
        <v>4.3435948680840317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/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404239.93*0.7/43531.5*599.2</f>
        <v>3894.981708399665</v>
      </c>
      <c r="C28" s="3"/>
      <c r="D28" s="5"/>
    </row>
    <row r="29" spans="1:4">
      <c r="A29" s="3" t="s">
        <v>15</v>
      </c>
      <c r="B29" s="5">
        <f>(134253+40544.4+265003.7+7080*12+356.81*7+15000)/43531.5*599.2</f>
        <v>7464.0537308385892</v>
      </c>
      <c r="C29" s="3"/>
      <c r="D29" s="3"/>
    </row>
    <row r="30" spans="1:4">
      <c r="A30" s="3" t="s">
        <v>7</v>
      </c>
      <c r="B30" s="5">
        <f>B28*0.302</f>
        <v>1176.2844759366988</v>
      </c>
      <c r="C30" s="3"/>
      <c r="D30" s="5"/>
    </row>
    <row r="31" spans="1:4">
      <c r="A31" s="6" t="s">
        <v>8</v>
      </c>
      <c r="B31" s="7">
        <f>SUM(B26:B30)</f>
        <v>12535.319915174952</v>
      </c>
      <c r="C31" s="7">
        <f>B31/599.2</f>
        <v>20.920093316380093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49104.78/43531.5*599.2</f>
        <v>675.914778401847</v>
      </c>
      <c r="C33" s="3"/>
      <c r="D33" s="5"/>
    </row>
    <row r="34" spans="1:4">
      <c r="A34" s="6" t="s">
        <v>8</v>
      </c>
      <c r="B34" s="7">
        <f>SUM(B33:B33)</f>
        <v>675.914778401847</v>
      </c>
      <c r="C34" s="7">
        <f>B34/599.2</f>
        <v>1.1280286688949381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373535.28/43531.5*599.2</f>
        <v>5141.6179037248894</v>
      </c>
      <c r="C36" s="3"/>
      <c r="D36" s="5"/>
    </row>
    <row r="37" spans="1:4">
      <c r="A37" s="3" t="s">
        <v>20</v>
      </c>
      <c r="B37" s="5">
        <f>(26500+12150+8250+1040)/43531.5*599.2</f>
        <v>659.88187863960582</v>
      </c>
      <c r="C37" s="3"/>
      <c r="D37" s="5"/>
    </row>
    <row r="38" spans="1:4">
      <c r="A38" s="6" t="s">
        <v>8</v>
      </c>
      <c r="B38" s="7">
        <f>SUM(B36:B37)</f>
        <v>5801.4997823644953</v>
      </c>
      <c r="C38" s="7">
        <f>B38/599.2</f>
        <v>9.6820757382585025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5">
        <v>15298</v>
      </c>
      <c r="C40" s="3"/>
      <c r="D40" s="5"/>
    </row>
    <row r="41" spans="1:4" ht="26.25">
      <c r="A41" s="8" t="s">
        <v>22</v>
      </c>
      <c r="B41" s="5">
        <v>4757.59</v>
      </c>
      <c r="C41" s="3"/>
      <c r="D41" s="5"/>
    </row>
    <row r="42" spans="1:4">
      <c r="A42" s="6" t="s">
        <v>8</v>
      </c>
      <c r="B42" s="7">
        <f>SUM(B40:B41)</f>
        <v>20055.59</v>
      </c>
      <c r="C42" s="7">
        <f>B42/599.2</f>
        <v>33.470610814419224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1624587/43531.5*599.2</f>
        <v>22362.025898487303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6753.3318213431658</v>
      </c>
      <c r="C47" s="3"/>
      <c r="D47" s="5"/>
    </row>
    <row r="48" spans="1:4">
      <c r="A48" s="3" t="s">
        <v>25</v>
      </c>
      <c r="B48" s="5">
        <f>(26463.66+29574)/43531.5*599.2</f>
        <v>771.34410420040672</v>
      </c>
      <c r="C48" s="3"/>
      <c r="D48" s="5"/>
    </row>
    <row r="49" spans="1:4">
      <c r="A49" s="3" t="s">
        <v>26</v>
      </c>
      <c r="B49" s="5"/>
      <c r="C49" s="3"/>
      <c r="D49" s="5"/>
    </row>
    <row r="50" spans="1:4" ht="26.25">
      <c r="A50" s="8" t="s">
        <v>27</v>
      </c>
      <c r="B50" s="5">
        <f>10238.68/43531.5*599.2</f>
        <v>140.93282004984897</v>
      </c>
      <c r="C50" s="3"/>
      <c r="D50" s="5"/>
    </row>
    <row r="51" spans="1:4">
      <c r="A51" s="3" t="s">
        <v>28</v>
      </c>
      <c r="B51" s="5">
        <f>36364/43531.5*599.2</f>
        <v>500.54118971319627</v>
      </c>
      <c r="C51" s="3"/>
      <c r="D51" s="5"/>
    </row>
    <row r="52" spans="1:4">
      <c r="A52" s="3" t="s">
        <v>29</v>
      </c>
      <c r="B52" s="5"/>
      <c r="C52" s="3"/>
      <c r="D52" s="3"/>
    </row>
    <row r="53" spans="1:4">
      <c r="A53" s="6" t="s">
        <v>8</v>
      </c>
      <c r="B53" s="7">
        <f>SUM(B44:B52)</f>
        <v>30528.175833793921</v>
      </c>
      <c r="C53" s="7">
        <f>B53/599.2</f>
        <v>50.948224021685448</v>
      </c>
      <c r="D53" s="6"/>
    </row>
    <row r="54" spans="1:4">
      <c r="A54" s="3"/>
      <c r="B54" s="3"/>
      <c r="C54" s="3"/>
      <c r="D54" s="3"/>
    </row>
    <row r="55" spans="1:4">
      <c r="A55" s="6" t="s">
        <v>30</v>
      </c>
      <c r="B55" s="7">
        <f>B15+B22+B24+B31+B34+B38+B42+B53+B54</f>
        <v>86717.008227552564</v>
      </c>
      <c r="C55" s="7">
        <f>C15+C22+C24+C31+C34+C38+C42+C53</f>
        <v>144.72130879097557</v>
      </c>
      <c r="D55" s="6"/>
    </row>
    <row r="56" spans="1:4">
      <c r="A56" s="3" t="s">
        <v>31</v>
      </c>
      <c r="B56" s="3">
        <v>-27471.82</v>
      </c>
      <c r="C56" s="3"/>
      <c r="D56" s="3"/>
    </row>
    <row r="57" spans="1:4">
      <c r="A57" s="3" t="s">
        <v>32</v>
      </c>
      <c r="B57" s="3">
        <v>107856</v>
      </c>
      <c r="C57" s="3"/>
      <c r="D57" s="3"/>
    </row>
    <row r="58" spans="1:4">
      <c r="A58" s="6" t="s">
        <v>111</v>
      </c>
      <c r="B58" s="6">
        <v>109074.08</v>
      </c>
      <c r="C58" s="6"/>
      <c r="D58" s="6"/>
    </row>
    <row r="59" spans="1:4">
      <c r="A59" s="6" t="s">
        <v>40</v>
      </c>
      <c r="B59" s="7">
        <f>B56+B58-B55</f>
        <v>-5114.7482275525545</v>
      </c>
      <c r="C59" s="6"/>
      <c r="D59" s="6"/>
    </row>
  </sheetData>
  <mergeCells count="8">
    <mergeCell ref="A39:D39"/>
    <mergeCell ref="A43:D43"/>
    <mergeCell ref="A10:D10"/>
    <mergeCell ref="A16:D16"/>
    <mergeCell ref="A23:D23"/>
    <mergeCell ref="A25:D25"/>
    <mergeCell ref="A32:D32"/>
    <mergeCell ref="A35:D35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59"/>
  <sheetViews>
    <sheetView topLeftCell="A46" workbookViewId="0">
      <selection activeCell="A66" sqref="A66"/>
    </sheetView>
  </sheetViews>
  <sheetFormatPr defaultRowHeight="15"/>
  <cols>
    <col min="1" max="1" width="38.28515625" customWidth="1"/>
    <col min="2" max="2" width="13.7109375" customWidth="1"/>
    <col min="3" max="3" width="14.85546875" customWidth="1"/>
    <col min="4" max="4" width="13.5703125" customWidth="1"/>
  </cols>
  <sheetData>
    <row r="1" spans="1:4">
      <c r="A1" s="9" t="s">
        <v>42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3" t="s">
        <v>78</v>
      </c>
      <c r="B3" s="3">
        <v>2709.2</v>
      </c>
      <c r="C3" s="9"/>
      <c r="D3" s="9"/>
    </row>
    <row r="4" spans="1:4">
      <c r="A4" s="3" t="s">
        <v>80</v>
      </c>
      <c r="B4" s="3">
        <v>1976</v>
      </c>
      <c r="C4" s="9"/>
      <c r="D4" s="9"/>
    </row>
    <row r="5" spans="1:4">
      <c r="A5" s="3" t="s">
        <v>81</v>
      </c>
      <c r="B5" s="3">
        <v>5</v>
      </c>
      <c r="C5" s="9"/>
      <c r="D5" s="9"/>
    </row>
    <row r="6" spans="1:4">
      <c r="A6" s="3" t="s">
        <v>79</v>
      </c>
      <c r="B6" s="3">
        <v>102</v>
      </c>
      <c r="C6" s="9"/>
      <c r="D6" s="9"/>
    </row>
    <row r="7" spans="1:4">
      <c r="A7" s="3" t="s">
        <v>82</v>
      </c>
      <c r="B7" s="5">
        <v>13.63</v>
      </c>
      <c r="C7" s="9"/>
      <c r="D7" s="9"/>
    </row>
    <row r="8" spans="1:4" ht="38.25">
      <c r="A8" s="1" t="s">
        <v>0</v>
      </c>
      <c r="B8" s="2" t="s">
        <v>1</v>
      </c>
      <c r="C8" s="2" t="s">
        <v>2</v>
      </c>
      <c r="D8" s="14" t="s">
        <v>43</v>
      </c>
    </row>
    <row r="9" spans="1:4">
      <c r="A9" s="2">
        <v>1</v>
      </c>
      <c r="B9" s="2">
        <v>2</v>
      </c>
      <c r="C9" s="2">
        <v>3</v>
      </c>
      <c r="D9" s="4">
        <v>4</v>
      </c>
    </row>
    <row r="10" spans="1:4">
      <c r="A10" s="17" t="s">
        <v>3</v>
      </c>
      <c r="B10" s="18"/>
      <c r="C10" s="18"/>
      <c r="D10" s="19"/>
    </row>
    <row r="11" spans="1:4">
      <c r="A11" s="3" t="s">
        <v>4</v>
      </c>
      <c r="B11" s="5">
        <f>4*82.83+33+95+35+82.83+4*22+5.12+26.25</f>
        <v>696.52</v>
      </c>
      <c r="C11" s="3"/>
      <c r="D11" s="3"/>
    </row>
    <row r="12" spans="1:4">
      <c r="A12" s="3" t="s">
        <v>5</v>
      </c>
      <c r="B12" s="3"/>
      <c r="C12" s="3"/>
      <c r="D12" s="3"/>
    </row>
    <row r="13" spans="1:4">
      <c r="A13" s="3" t="s">
        <v>6</v>
      </c>
      <c r="B13" s="5">
        <f>960770.17*0.64/43531.5*2709.2</f>
        <v>38268.101685468224</v>
      </c>
      <c r="C13" s="3"/>
      <c r="D13" s="3"/>
    </row>
    <row r="14" spans="1:4">
      <c r="A14" s="3" t="s">
        <v>7</v>
      </c>
      <c r="B14" s="5">
        <f>B13*0.302</f>
        <v>11556.966709011404</v>
      </c>
      <c r="C14" s="3"/>
      <c r="D14" s="3"/>
    </row>
    <row r="15" spans="1:4">
      <c r="A15" s="6" t="s">
        <v>8</v>
      </c>
      <c r="B15" s="7">
        <f>SUM(B11:B14)</f>
        <v>50521.588394479622</v>
      </c>
      <c r="C15" s="7">
        <f>B15/2709.2</f>
        <v>18.648157535242738</v>
      </c>
      <c r="D15" s="3"/>
    </row>
    <row r="16" spans="1:4">
      <c r="A16" s="17" t="s">
        <v>9</v>
      </c>
      <c r="B16" s="18"/>
      <c r="C16" s="18"/>
      <c r="D16" s="19"/>
    </row>
    <row r="17" spans="1:4">
      <c r="A17" s="3" t="s">
        <v>4</v>
      </c>
      <c r="B17" s="5">
        <f>49*11+7*99+2*35+16.67+54</f>
        <v>1372.67</v>
      </c>
      <c r="C17" s="3"/>
      <c r="D17" s="3"/>
    </row>
    <row r="18" spans="1:4">
      <c r="A18" s="3" t="s">
        <v>5</v>
      </c>
      <c r="B18" s="3"/>
      <c r="C18" s="3"/>
      <c r="D18" s="3"/>
    </row>
    <row r="19" spans="1:4">
      <c r="A19" s="3" t="s">
        <v>6</v>
      </c>
      <c r="B19" s="5">
        <f>204766*0.64/43531.5*2709.2</f>
        <v>8155.9631578971548</v>
      </c>
      <c r="C19" s="3"/>
      <c r="D19" s="5"/>
    </row>
    <row r="20" spans="1:4">
      <c r="A20" s="3" t="s">
        <v>10</v>
      </c>
      <c r="B20" s="3"/>
      <c r="C20" s="3"/>
      <c r="D20" s="3"/>
    </row>
    <row r="21" spans="1:4">
      <c r="A21" s="3" t="s">
        <v>7</v>
      </c>
      <c r="B21" s="5">
        <f>B19*0.302</f>
        <v>2463.1008736849408</v>
      </c>
      <c r="C21" s="3"/>
      <c r="D21" s="5"/>
    </row>
    <row r="22" spans="1:4">
      <c r="A22" s="6" t="s">
        <v>8</v>
      </c>
      <c r="B22" s="7">
        <f>SUM(B17:B21)</f>
        <v>11991.734031582095</v>
      </c>
      <c r="C22" s="7">
        <f>B22/2709.2</f>
        <v>4.4263007646471637</v>
      </c>
      <c r="D22" s="6"/>
    </row>
    <row r="23" spans="1:4">
      <c r="A23" s="17" t="s">
        <v>11</v>
      </c>
      <c r="B23" s="18"/>
      <c r="C23" s="18"/>
      <c r="D23" s="19"/>
    </row>
    <row r="24" spans="1:4">
      <c r="A24" s="3" t="s">
        <v>12</v>
      </c>
      <c r="B24" s="5">
        <f>189083.2/43531.5*2709.2</f>
        <v>11767.667216613258</v>
      </c>
      <c r="C24" s="7">
        <f>B24/2709.2</f>
        <v>4.3435948680840317</v>
      </c>
      <c r="D24" s="7"/>
    </row>
    <row r="25" spans="1:4">
      <c r="A25" s="17" t="s">
        <v>13</v>
      </c>
      <c r="B25" s="18"/>
      <c r="C25" s="18"/>
      <c r="D25" s="19"/>
    </row>
    <row r="26" spans="1:4">
      <c r="A26" s="3" t="s">
        <v>14</v>
      </c>
      <c r="B26" s="5"/>
      <c r="C26" s="3"/>
      <c r="D26" s="5"/>
    </row>
    <row r="27" spans="1:4">
      <c r="A27" s="3" t="s">
        <v>5</v>
      </c>
      <c r="B27" s="3"/>
      <c r="C27" s="3"/>
      <c r="D27" s="3"/>
    </row>
    <row r="28" spans="1:4">
      <c r="A28" s="3" t="s">
        <v>6</v>
      </c>
      <c r="B28" s="5">
        <f>404239.93*0.64/43531.5*2709.2</f>
        <v>16101.139720612429</v>
      </c>
      <c r="C28" s="3"/>
      <c r="D28" s="5"/>
    </row>
    <row r="29" spans="1:4">
      <c r="A29" s="3" t="s">
        <v>15</v>
      </c>
      <c r="B29" s="5">
        <f>(134253+40544.4+265003.7+7080*12+356.81*7+15000)/43531.5*2709.2</f>
        <v>33747.687529352304</v>
      </c>
      <c r="C29" s="3"/>
      <c r="D29" s="3"/>
    </row>
    <row r="30" spans="1:4">
      <c r="A30" s="3" t="s">
        <v>7</v>
      </c>
      <c r="B30" s="5">
        <f>B28*0.302</f>
        <v>4862.5441956249533</v>
      </c>
      <c r="C30" s="3"/>
      <c r="D30" s="5"/>
    </row>
    <row r="31" spans="1:4">
      <c r="A31" s="6" t="s">
        <v>8</v>
      </c>
      <c r="B31" s="7">
        <f>SUM(B26:B30)</f>
        <v>54711.371445589692</v>
      </c>
      <c r="C31" s="7">
        <f>B31/2709.2</f>
        <v>20.194659473493907</v>
      </c>
      <c r="D31" s="6"/>
    </row>
    <row r="32" spans="1:4">
      <c r="A32" s="17" t="s">
        <v>16</v>
      </c>
      <c r="B32" s="18"/>
      <c r="C32" s="18"/>
      <c r="D32" s="19"/>
    </row>
    <row r="33" spans="1:4">
      <c r="A33" s="3" t="s">
        <v>17</v>
      </c>
      <c r="B33" s="5">
        <f>49104.78/43531.5*2709.2</f>
        <v>3056.055269770166</v>
      </c>
      <c r="C33" s="3"/>
      <c r="D33" s="5"/>
    </row>
    <row r="34" spans="1:4">
      <c r="A34" s="6" t="s">
        <v>8</v>
      </c>
      <c r="B34" s="7">
        <f>SUM(B33:B33)</f>
        <v>3056.055269770166</v>
      </c>
      <c r="C34" s="7">
        <f>B34/2709.2</f>
        <v>1.1280286688949381</v>
      </c>
      <c r="D34" s="6"/>
    </row>
    <row r="35" spans="1:4">
      <c r="A35" s="17" t="s">
        <v>18</v>
      </c>
      <c r="B35" s="18"/>
      <c r="C35" s="18"/>
      <c r="D35" s="19"/>
    </row>
    <row r="36" spans="1:4">
      <c r="A36" s="8" t="s">
        <v>19</v>
      </c>
      <c r="B36" s="5">
        <f>373535.28/43531.5*2709.2</f>
        <v>23247.114861100581</v>
      </c>
      <c r="C36" s="3"/>
      <c r="D36" s="5"/>
    </row>
    <row r="37" spans="1:4">
      <c r="A37" s="3" t="s">
        <v>20</v>
      </c>
      <c r="B37" s="5">
        <f>(26500+12150+8250+1040)/43531.5*2709.2</f>
        <v>2983.5647289893523</v>
      </c>
      <c r="C37" s="3"/>
      <c r="D37" s="5"/>
    </row>
    <row r="38" spans="1:4">
      <c r="A38" s="6" t="s">
        <v>8</v>
      </c>
      <c r="B38" s="7">
        <f>SUM(B36:B37)</f>
        <v>26230.679590089934</v>
      </c>
      <c r="C38" s="7">
        <f>B38/2709.2</f>
        <v>9.6820757382585025</v>
      </c>
      <c r="D38" s="6"/>
    </row>
    <row r="39" spans="1:4">
      <c r="A39" s="17" t="s">
        <v>21</v>
      </c>
      <c r="B39" s="18"/>
      <c r="C39" s="18"/>
      <c r="D39" s="19"/>
    </row>
    <row r="40" spans="1:4">
      <c r="A40" s="3" t="s">
        <v>4</v>
      </c>
      <c r="B40" s="10">
        <v>178358</v>
      </c>
      <c r="C40" s="3"/>
      <c r="D40" s="5"/>
    </row>
    <row r="41" spans="1:4" ht="26.25">
      <c r="A41" s="8" t="s">
        <v>22</v>
      </c>
      <c r="B41" s="5">
        <v>21022.799999999999</v>
      </c>
      <c r="C41" s="3"/>
      <c r="D41" s="5"/>
    </row>
    <row r="42" spans="1:4">
      <c r="A42" s="6" t="s">
        <v>8</v>
      </c>
      <c r="B42" s="7">
        <f>SUM(B40:B41)</f>
        <v>199380.8</v>
      </c>
      <c r="C42" s="7">
        <f>B42/2709.2</f>
        <v>73.593976081500074</v>
      </c>
      <c r="D42" s="6"/>
    </row>
    <row r="43" spans="1:4">
      <c r="A43" s="17" t="s">
        <v>23</v>
      </c>
      <c r="B43" s="18"/>
      <c r="C43" s="18"/>
      <c r="D43" s="19"/>
    </row>
    <row r="44" spans="1:4">
      <c r="A44" s="3" t="s">
        <v>4</v>
      </c>
      <c r="B44" s="3"/>
      <c r="C44" s="3"/>
      <c r="D44" s="3"/>
    </row>
    <row r="45" spans="1:4">
      <c r="A45" s="3" t="s">
        <v>6</v>
      </c>
      <c r="B45" s="5">
        <f>1524587/43531.5*2709.2</f>
        <v>94883.270744173744</v>
      </c>
      <c r="C45" s="3"/>
      <c r="D45" s="5"/>
    </row>
    <row r="46" spans="1:4">
      <c r="A46" s="3" t="s">
        <v>24</v>
      </c>
      <c r="B46" s="5"/>
      <c r="C46" s="3"/>
      <c r="D46" s="5"/>
    </row>
    <row r="47" spans="1:4">
      <c r="A47" s="3" t="s">
        <v>7</v>
      </c>
      <c r="B47" s="5">
        <f>B45*0.302</f>
        <v>28654.74776474047</v>
      </c>
      <c r="C47" s="3"/>
      <c r="D47" s="5"/>
    </row>
    <row r="48" spans="1:4">
      <c r="A48" s="3" t="s">
        <v>25</v>
      </c>
      <c r="B48" s="5">
        <f>(26463.66+29574)/43531.5*2709.2</f>
        <v>3487.5257795389543</v>
      </c>
      <c r="C48" s="3"/>
      <c r="D48" s="5"/>
    </row>
    <row r="49" spans="1:4">
      <c r="A49" s="3" t="s">
        <v>26</v>
      </c>
      <c r="B49" s="5"/>
      <c r="C49" s="3"/>
      <c r="D49" s="5"/>
    </row>
    <row r="50" spans="1:4" ht="26.25">
      <c r="A50" s="8" t="s">
        <v>27</v>
      </c>
      <c r="B50" s="5">
        <f>10238.68/43531.5*2709.2</f>
        <v>637.20827115996462</v>
      </c>
      <c r="C50" s="3"/>
      <c r="D50" s="5"/>
    </row>
    <row r="51" spans="1:4">
      <c r="A51" s="3" t="s">
        <v>28</v>
      </c>
      <c r="B51" s="5">
        <f>36364/43531.5*2709.2</f>
        <v>2263.1278223814938</v>
      </c>
      <c r="C51" s="3"/>
      <c r="D51" s="5"/>
    </row>
    <row r="52" spans="1:4">
      <c r="A52" s="3" t="s">
        <v>29</v>
      </c>
      <c r="B52" s="5"/>
      <c r="C52" s="3"/>
      <c r="D52" s="3"/>
    </row>
    <row r="53" spans="1:4">
      <c r="A53" s="6" t="s">
        <v>8</v>
      </c>
      <c r="B53" s="7">
        <f>SUM(B44:B52)</f>
        <v>129925.88038199462</v>
      </c>
      <c r="C53" s="7">
        <f>B53/2709.2</f>
        <v>47.95728642477286</v>
      </c>
      <c r="D53" s="6"/>
    </row>
    <row r="54" spans="1:4">
      <c r="A54" s="3"/>
      <c r="B54" s="3"/>
      <c r="C54" s="3"/>
      <c r="D54" s="3"/>
    </row>
    <row r="55" spans="1:4">
      <c r="A55" s="6" t="s">
        <v>30</v>
      </c>
      <c r="B55" s="7">
        <f>B15+B22+B24+B31+B34+B38+B42+B53</f>
        <v>487585.77633011946</v>
      </c>
      <c r="C55" s="7">
        <f>C15+C22+C24+C31+C34+C38+C42+C53</f>
        <v>179.97407955489422</v>
      </c>
      <c r="D55" s="6"/>
    </row>
    <row r="56" spans="1:4">
      <c r="A56" s="3" t="s">
        <v>31</v>
      </c>
      <c r="B56" s="3">
        <v>46776.51</v>
      </c>
      <c r="C56" s="3"/>
      <c r="D56" s="3"/>
    </row>
    <row r="57" spans="1:4">
      <c r="A57" s="3" t="s">
        <v>32</v>
      </c>
      <c r="B57" s="3">
        <v>443116.32</v>
      </c>
      <c r="C57" s="3"/>
      <c r="D57" s="3"/>
    </row>
    <row r="58" spans="1:4">
      <c r="A58" s="6" t="s">
        <v>111</v>
      </c>
      <c r="B58" s="6">
        <v>428483.89</v>
      </c>
      <c r="C58" s="6"/>
      <c r="D58" s="6"/>
    </row>
    <row r="59" spans="1:4">
      <c r="A59" s="6" t="s">
        <v>40</v>
      </c>
      <c r="B59" s="7">
        <f>B56+B58-B55</f>
        <v>-12325.376330119441</v>
      </c>
      <c r="C59" s="6"/>
      <c r="D59" s="6"/>
    </row>
  </sheetData>
  <mergeCells count="8">
    <mergeCell ref="A39:D39"/>
    <mergeCell ref="A43:D43"/>
    <mergeCell ref="A10:D10"/>
    <mergeCell ref="A16:D16"/>
    <mergeCell ref="A23:D23"/>
    <mergeCell ref="A25:D25"/>
    <mergeCell ref="A32:D32"/>
    <mergeCell ref="A35:D35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1 Мая 30</vt:lpstr>
      <vt:lpstr>1 Мая 34</vt:lpstr>
      <vt:lpstr>1 Мая 37</vt:lpstr>
      <vt:lpstr>Лунач.34</vt:lpstr>
      <vt:lpstr>Свердловск.27</vt:lpstr>
      <vt:lpstr>Свердловск.29</vt:lpstr>
      <vt:lpstr>Свердловск.31</vt:lpstr>
      <vt:lpstr>Свердловская 33</vt:lpstr>
      <vt:lpstr>Свердловская 37</vt:lpstr>
      <vt:lpstr>Свердловская 39</vt:lpstr>
      <vt:lpstr>Свердловская 42</vt:lpstr>
      <vt:lpstr> Свердловская 52</vt:lpstr>
      <vt:lpstr>Коммуны 29</vt:lpstr>
      <vt:lpstr>Коммуны 31</vt:lpstr>
      <vt:lpstr>Ленина 27</vt:lpstr>
      <vt:lpstr>Ленина 25</vt:lpstr>
      <vt:lpstr>Ленина 15</vt:lpstr>
      <vt:lpstr>Ленина 10</vt:lpstr>
      <vt:lpstr>Пролетарская 20</vt:lpstr>
      <vt:lpstr>Строителей 2</vt:lpstr>
      <vt:lpstr>К.Маркса 69</vt:lpstr>
      <vt:lpstr>К.Маркса 71</vt:lpstr>
      <vt:lpstr>М. Горького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2015-04-26T09:04:11Z</dcterms:modified>
</cp:coreProperties>
</file>