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4"/>
  </bookViews>
  <sheets>
    <sheet name="Лунач 34" sheetId="1" r:id="rId1"/>
    <sheet name="Свердловск 27" sheetId="24" r:id="rId2"/>
    <sheet name="Св 29" sheetId="2" r:id="rId3"/>
    <sheet name="Св 31" sheetId="4" r:id="rId4"/>
    <sheet name="Св 33" sheetId="3" r:id="rId5"/>
    <sheet name="Св 37" sheetId="5" r:id="rId6"/>
    <sheet name="Св 39" sheetId="6" r:id="rId7"/>
    <sheet name="1 Мая 30" sheetId="7" r:id="rId8"/>
    <sheet name="1 Мая 34" sheetId="16" r:id="rId9"/>
    <sheet name="1 Мая 37" sheetId="15" r:id="rId10"/>
    <sheet name="Ленина 10" sheetId="8" r:id="rId11"/>
    <sheet name="Ленина 15" sheetId="12" r:id="rId12"/>
    <sheet name="Ленина25" sheetId="13" r:id="rId13"/>
    <sheet name="Ленина 27" sheetId="14" r:id="rId14"/>
    <sheet name="Пролет.20" sheetId="10" r:id="rId15"/>
    <sheet name="Ком.31" sheetId="11" r:id="rId16"/>
    <sheet name="Ком. 29" sheetId="9" r:id="rId17"/>
    <sheet name="М-Горького 5" sheetId="17" r:id="rId18"/>
    <sheet name="Свердловская 42" sheetId="18" r:id="rId19"/>
    <sheet name="Свердловск.44" sheetId="19" r:id="rId20"/>
    <sheet name="Свердловск.52" sheetId="20" r:id="rId21"/>
    <sheet name="Строит.2" sheetId="21" r:id="rId22"/>
    <sheet name="К-Маркса 69" sheetId="22" r:id="rId23"/>
    <sheet name="К-Маркса 71" sheetId="23" r:id="rId24"/>
    <sheet name="Свердловск 25" sheetId="25" r:id="rId25"/>
    <sheet name="Лист1" sheetId="26" r:id="rId26"/>
  </sheets>
  <calcPr calcId="145621" refMode="R1C1"/>
</workbook>
</file>

<file path=xl/calcChain.xml><?xml version="1.0" encoding="utf-8"?>
<calcChain xmlns="http://schemas.openxmlformats.org/spreadsheetml/2006/main">
  <c r="C12" i="25" l="1"/>
  <c r="C12" i="23"/>
  <c r="C12" i="22"/>
  <c r="C12" i="21"/>
  <c r="C12" i="20"/>
  <c r="C12" i="19"/>
  <c r="C12" i="18"/>
  <c r="C12" i="9"/>
  <c r="C12" i="11"/>
  <c r="C12" i="10"/>
  <c r="C12" i="14"/>
  <c r="C12" i="13"/>
  <c r="C12" i="12"/>
  <c r="C12" i="8"/>
  <c r="C12" i="15"/>
  <c r="C12" i="16"/>
  <c r="C12" i="7"/>
  <c r="C12" i="6"/>
  <c r="C12" i="5"/>
  <c r="C12" i="3"/>
  <c r="C12" i="4"/>
  <c r="C12" i="2"/>
  <c r="C12" i="24"/>
  <c r="C12" i="1"/>
  <c r="C15" i="25"/>
  <c r="C19" i="25"/>
  <c r="C15" i="23"/>
  <c r="C19" i="23"/>
  <c r="C15" i="22"/>
  <c r="C19" i="22"/>
  <c r="C15" i="21"/>
  <c r="C19" i="21"/>
  <c r="C15" i="20" l="1"/>
  <c r="C19" i="20"/>
  <c r="C15" i="19"/>
  <c r="C19" i="19"/>
  <c r="C15" i="18"/>
  <c r="C19" i="18"/>
  <c r="C15" i="17"/>
  <c r="C20" i="17"/>
  <c r="C15" i="9"/>
  <c r="C19" i="9"/>
  <c r="C15" i="11"/>
  <c r="C19" i="11"/>
  <c r="C17" i="10"/>
  <c r="C20" i="10"/>
  <c r="C15" i="14"/>
  <c r="C19" i="14"/>
  <c r="C15" i="13"/>
  <c r="C19" i="13"/>
  <c r="C15" i="8"/>
  <c r="C19" i="8"/>
  <c r="C19" i="12"/>
  <c r="C15" i="12"/>
  <c r="C15" i="15"/>
  <c r="C19" i="15"/>
  <c r="C15" i="16"/>
  <c r="C19" i="16"/>
  <c r="C15" i="7"/>
  <c r="C19" i="7"/>
  <c r="C19" i="6"/>
  <c r="C15" i="6"/>
  <c r="C19" i="5"/>
  <c r="C13" i="5"/>
  <c r="C15" i="3"/>
  <c r="C20" i="3"/>
  <c r="C19" i="4"/>
  <c r="C15" i="4"/>
  <c r="C19" i="2"/>
  <c r="C17" i="2"/>
  <c r="C19" i="24"/>
  <c r="C15" i="24"/>
  <c r="C15" i="1" l="1"/>
  <c r="C19" i="1"/>
  <c r="C20" i="14"/>
  <c r="C21" i="10"/>
  <c r="C20" i="25" l="1"/>
  <c r="C18" i="25"/>
  <c r="C17" i="25"/>
  <c r="C14" i="25"/>
  <c r="C11" i="25"/>
  <c r="C21" i="25" s="1"/>
  <c r="C8" i="25"/>
  <c r="C9" i="25"/>
  <c r="C22" i="25" l="1"/>
  <c r="C20" i="24"/>
  <c r="C18" i="24"/>
  <c r="C17" i="24"/>
  <c r="C14" i="24"/>
  <c r="C13" i="24"/>
  <c r="C11" i="24"/>
  <c r="C21" i="24" s="1"/>
  <c r="C8" i="24"/>
  <c r="C9" i="24" s="1"/>
  <c r="C22" i="24" l="1"/>
  <c r="C20" i="23" l="1"/>
  <c r="C18" i="23"/>
  <c r="C17" i="23"/>
  <c r="C14" i="23"/>
  <c r="C13" i="23"/>
  <c r="C11" i="23"/>
  <c r="C21" i="23" s="1"/>
  <c r="C20" i="22"/>
  <c r="C18" i="22"/>
  <c r="C17" i="22"/>
  <c r="C14" i="22"/>
  <c r="C8" i="23" l="1"/>
  <c r="C9" i="23"/>
  <c r="C11" i="22"/>
  <c r="C21" i="22" s="1"/>
  <c r="C8" i="22"/>
  <c r="C9" i="22"/>
  <c r="C20" i="21"/>
  <c r="C18" i="21"/>
  <c r="C17" i="21"/>
  <c r="C14" i="21"/>
  <c r="C11" i="21"/>
  <c r="C21" i="21" s="1"/>
  <c r="C22" i="21" s="1"/>
  <c r="C8" i="21"/>
  <c r="C9" i="21" s="1"/>
  <c r="C20" i="20"/>
  <c r="C18" i="20"/>
  <c r="C17" i="20"/>
  <c r="C14" i="20"/>
  <c r="C13" i="20"/>
  <c r="C11" i="20"/>
  <c r="C21" i="20" s="1"/>
  <c r="C11" i="19"/>
  <c r="C13" i="19"/>
  <c r="C8" i="20"/>
  <c r="C9" i="20" s="1"/>
  <c r="C20" i="19"/>
  <c r="C18" i="19"/>
  <c r="C17" i="19"/>
  <c r="C14" i="19"/>
  <c r="C8" i="19"/>
  <c r="C9" i="19" s="1"/>
  <c r="C21" i="19" l="1"/>
  <c r="C22" i="19" s="1"/>
  <c r="C22" i="23"/>
  <c r="C22" i="22"/>
  <c r="C22" i="20"/>
  <c r="C11" i="18" l="1"/>
  <c r="C20" i="18"/>
  <c r="C18" i="18"/>
  <c r="C17" i="18"/>
  <c r="C14" i="18"/>
  <c r="C13" i="18"/>
  <c r="C9" i="18"/>
  <c r="C21" i="17"/>
  <c r="C18" i="17"/>
  <c r="C17" i="17"/>
  <c r="C12" i="17"/>
  <c r="C11" i="17"/>
  <c r="C22" i="17" s="1"/>
  <c r="C8" i="17"/>
  <c r="C9" i="17"/>
  <c r="C11" i="8"/>
  <c r="C20" i="8"/>
  <c r="C18" i="8"/>
  <c r="C17" i="8"/>
  <c r="C14" i="8"/>
  <c r="C13" i="8"/>
  <c r="C8" i="8"/>
  <c r="C9" i="8"/>
  <c r="C21" i="18" l="1"/>
  <c r="C22" i="18" s="1"/>
  <c r="C23" i="17"/>
  <c r="C21" i="8"/>
  <c r="C22" i="8" s="1"/>
  <c r="C18" i="9" l="1"/>
  <c r="C20" i="9"/>
  <c r="C17" i="9"/>
  <c r="C14" i="9"/>
  <c r="C13" i="9"/>
  <c r="C8" i="9"/>
  <c r="C9" i="9" s="1"/>
  <c r="C11" i="9"/>
  <c r="C21" i="9" s="1"/>
  <c r="C22" i="9" l="1"/>
  <c r="C20" i="7" l="1"/>
  <c r="C14" i="7"/>
  <c r="C20" i="15"/>
  <c r="C18" i="15"/>
  <c r="C17" i="15"/>
  <c r="C14" i="15"/>
  <c r="C13" i="15"/>
  <c r="C11" i="15"/>
  <c r="C21" i="15" s="1"/>
  <c r="C18" i="7"/>
  <c r="C17" i="7"/>
  <c r="C13" i="11"/>
  <c r="C20" i="11"/>
  <c r="C18" i="11"/>
  <c r="C17" i="11"/>
  <c r="C14" i="11"/>
  <c r="C11" i="11"/>
  <c r="C8" i="11"/>
  <c r="C20" i="16"/>
  <c r="C18" i="16"/>
  <c r="C17" i="16"/>
  <c r="C14" i="16"/>
  <c r="C13" i="16"/>
  <c r="C11" i="16"/>
  <c r="C21" i="16" s="1"/>
  <c r="C8" i="16"/>
  <c r="C9" i="16" s="1"/>
  <c r="C8" i="15"/>
  <c r="C9" i="15" s="1"/>
  <c r="C19" i="10"/>
  <c r="C18" i="10"/>
  <c r="C14" i="10"/>
  <c r="C13" i="10"/>
  <c r="C11" i="10"/>
  <c r="C8" i="10"/>
  <c r="C18" i="14"/>
  <c r="C17" i="14"/>
  <c r="C14" i="14"/>
  <c r="C13" i="14"/>
  <c r="C11" i="14"/>
  <c r="C8" i="14"/>
  <c r="C20" i="13"/>
  <c r="C18" i="13"/>
  <c r="C17" i="13"/>
  <c r="C14" i="13"/>
  <c r="C11" i="13"/>
  <c r="C21" i="13" s="1"/>
  <c r="C22" i="10" l="1"/>
  <c r="C21" i="14"/>
  <c r="C21" i="11"/>
  <c r="C22" i="16"/>
  <c r="C22" i="15"/>
  <c r="C8" i="13"/>
  <c r="C20" i="12"/>
  <c r="C18" i="12"/>
  <c r="C17" i="12"/>
  <c r="C14" i="12"/>
  <c r="C21" i="12" s="1"/>
  <c r="C13" i="12"/>
  <c r="C11" i="12"/>
  <c r="C8" i="12"/>
  <c r="C22" i="14"/>
  <c r="C9" i="14"/>
  <c r="C22" i="13"/>
  <c r="C9" i="13"/>
  <c r="C9" i="12"/>
  <c r="C22" i="12" l="1"/>
  <c r="C9" i="11" l="1"/>
  <c r="C23" i="10"/>
  <c r="C9" i="10"/>
  <c r="C22" i="11" l="1"/>
  <c r="C13" i="7" l="1"/>
  <c r="C11" i="7"/>
  <c r="C21" i="7" s="1"/>
  <c r="C8" i="7"/>
  <c r="C22" i="7" l="1"/>
  <c r="C9" i="7"/>
  <c r="C20" i="6" l="1"/>
  <c r="C18" i="6"/>
  <c r="C17" i="6"/>
  <c r="C14" i="6"/>
  <c r="C13" i="6"/>
  <c r="C11" i="6"/>
  <c r="C21" i="6" s="1"/>
  <c r="C8" i="6"/>
  <c r="C9" i="6" s="1"/>
  <c r="C22" i="6" l="1"/>
  <c r="C20" i="5"/>
  <c r="C17" i="5"/>
  <c r="C15" i="5"/>
  <c r="C14" i="5"/>
  <c r="C11" i="5"/>
  <c r="C21" i="5" s="1"/>
  <c r="C8" i="5"/>
  <c r="C21" i="3"/>
  <c r="C9" i="5"/>
  <c r="C18" i="3"/>
  <c r="C17" i="3"/>
  <c r="C14" i="3"/>
  <c r="C13" i="3"/>
  <c r="C22" i="3" s="1"/>
  <c r="C23" i="3" s="1"/>
  <c r="C11" i="3"/>
  <c r="C17" i="4"/>
  <c r="C20" i="4"/>
  <c r="C18" i="4"/>
  <c r="C13" i="4"/>
  <c r="C14" i="4"/>
  <c r="C11" i="4"/>
  <c r="C21" i="4" s="1"/>
  <c r="C8" i="4"/>
  <c r="C9" i="4" s="1"/>
  <c r="C9" i="3"/>
  <c r="C22" i="5" l="1"/>
  <c r="C22" i="4"/>
  <c r="C18" i="2" l="1"/>
  <c r="C11" i="2"/>
  <c r="C18" i="1"/>
  <c r="C20" i="1"/>
  <c r="C11" i="1"/>
  <c r="C20" i="2" l="1"/>
  <c r="C16" i="2"/>
  <c r="C14" i="2"/>
  <c r="C13" i="2"/>
  <c r="C8" i="2"/>
  <c r="C8" i="1" l="1"/>
  <c r="C17" i="1"/>
  <c r="C14" i="1"/>
  <c r="C13" i="1"/>
  <c r="C9" i="2" l="1"/>
  <c r="C21" i="2"/>
  <c r="C21" i="1"/>
  <c r="C9" i="1"/>
  <c r="C22" i="2" l="1"/>
  <c r="C22" i="1"/>
</calcChain>
</file>

<file path=xl/sharedStrings.xml><?xml version="1.0" encoding="utf-8"?>
<sst xmlns="http://schemas.openxmlformats.org/spreadsheetml/2006/main" count="880" uniqueCount="340">
  <si>
    <r>
      <t>адрес: п. Пашия, ул. Луначарского 34                                        Общая площадь квартир 3932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</si>
  <si>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№ п/п</t>
  </si>
  <si>
    <t>Содержание статей расхода</t>
  </si>
  <si>
    <t>Сумма в руб.</t>
  </si>
  <si>
    <t>1.</t>
  </si>
  <si>
    <t>2.</t>
  </si>
  <si>
    <t>Фактически поступило денежных средств (оплата)</t>
  </si>
  <si>
    <t>% оплаты</t>
  </si>
  <si>
    <t>3.</t>
  </si>
  <si>
    <t>РАСХОДЫ</t>
  </si>
  <si>
    <t>3. 1.</t>
  </si>
  <si>
    <t>3.2.</t>
  </si>
  <si>
    <t>3.3.</t>
  </si>
  <si>
    <t>3.4.</t>
  </si>
  <si>
    <t>3.5.</t>
  </si>
  <si>
    <t>3.6.</t>
  </si>
  <si>
    <t>3.8.</t>
  </si>
  <si>
    <t>3.9.</t>
  </si>
  <si>
    <t>3.10.</t>
  </si>
  <si>
    <t>Итого фактические затраты на содержание и ремонт дома</t>
  </si>
  <si>
    <t>Отчет ООО "Меридиан" о расходовании средств по статье "Содержание и тек. ремонт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</si>
  <si>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Свердловская 29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Общая площадь квартир 3232,5 м</t>
    </r>
    <r>
      <rPr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</si>
  <si>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февр-апр.2012г</t>
  </si>
  <si>
    <t>3.7.</t>
  </si>
  <si>
    <t>Текущий ремонт жилфонда согласно смет</t>
  </si>
  <si>
    <t>жилья"  за август 2012-июль 2013г.</t>
  </si>
  <si>
    <t>Дератизация подвальных помещ.(согл догов. 1 р. в 2 мес.+ обр. мусорки) 34050,83/9007,4 *348,9=1318,95р +1427,24/44178,7*3932= 127руб</t>
  </si>
  <si>
    <t>ВДГО: договор №444/12; (364427,89/44178,7*3932+40000)</t>
  </si>
  <si>
    <t xml:space="preserve"> Содержание РКЦ: (291338/44178,7*3932)</t>
  </si>
  <si>
    <t>Начислено за содержание и текущий ремонт жилья авг.2012-июль2013г</t>
  </si>
  <si>
    <t>жилья" август 2012г - июль 2013г.</t>
  </si>
  <si>
    <r>
      <t>Дератизация подвальных помещений( догов.№205 от 22.10.12г )               (34050,83/9007,4*564м</t>
    </r>
    <r>
      <rPr>
        <sz val="10"/>
        <color theme="1"/>
        <rFont val="Calibri"/>
        <family val="2"/>
        <charset val="204"/>
      </rPr>
      <t>²=2132,10 + 1427,24/44178,7*3932=127</t>
    </r>
  </si>
  <si>
    <t xml:space="preserve">Содержание РКЦ: опл за квитанц.-291338/44178,7*3232,5                                                                                                                                                                     </t>
  </si>
  <si>
    <r>
      <t>Прочие: (</t>
    </r>
    <r>
      <rPr>
        <sz val="9"/>
        <color theme="1"/>
        <rFont val="Calibri"/>
        <family val="2"/>
        <charset val="204"/>
        <scheme val="minor"/>
      </rPr>
      <t>ростел.осбсл комп. типогр.)100497/44178,7*3232,5</t>
    </r>
  </si>
  <si>
    <r>
      <t>Прочие: (</t>
    </r>
    <r>
      <rPr>
        <sz val="9"/>
        <color theme="1"/>
        <rFont val="Calibri"/>
        <family val="2"/>
        <charset val="204"/>
        <scheme val="minor"/>
      </rPr>
      <t>ростел.осбсл комп. типогр.)100497/44178,7*3932</t>
    </r>
  </si>
  <si>
    <t>3.1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</si>
  <si>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1420628,77/44178,7м</t>
    </r>
    <r>
      <rPr>
        <sz val="10"/>
        <color theme="1"/>
        <rFont val="Calibri"/>
        <family val="2"/>
        <charset val="204"/>
      </rPr>
      <t>² х 3932= 126439</t>
    </r>
  </si>
  <si>
    <t>Начислено за содержание и текущий ремонт жилья авг12-июль 2013г</t>
  </si>
  <si>
    <r>
      <t>Уборка придомовой территории, содерж диспет. службы,контролера:                                                                         ФЗПл дворн. 190895,4:16022,8</t>
    </r>
    <r>
      <rPr>
        <sz val="10"/>
        <color theme="1"/>
        <rFont val="Calibri"/>
        <family val="2"/>
        <charset val="204"/>
      </rPr>
      <t xml:space="preserve"> х 982,95= 1220,52руб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контр.111600:44178,7*3932</t>
    </r>
    <r>
      <rPr>
        <sz val="10"/>
        <color theme="1"/>
        <rFont val="Calibri"/>
        <family val="2"/>
        <charset val="204"/>
      </rPr>
      <t xml:space="preserve">  = 9932,6 руб                                                                                                              Отчисл. от ФЗПл- 30,2%  3368,24руб</t>
    </r>
  </si>
  <si>
    <r>
      <t>Уборка придомовой территории, содерж диспет. службы,контролера:                                                                         ФЗПл дворн. 190895,4:16022,8</t>
    </r>
    <r>
      <rPr>
        <sz val="10"/>
        <color theme="1"/>
        <rFont val="Calibri"/>
        <family val="2"/>
        <charset val="204"/>
      </rPr>
      <t xml:space="preserve"> х 982,95= 1710,85 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</t>
    </r>
    <r>
      <rPr>
        <sz val="10"/>
        <color theme="1"/>
        <rFont val="Calibri"/>
        <family val="2"/>
        <charset val="204"/>
      </rPr>
      <t xml:space="preserve"> х 3232,5 = 8165,63 руб                                                                                                              Отчисл. от ФЗПл- 30,2%  2982,7руб</t>
    </r>
  </si>
  <si>
    <t>ВДГО:дог. №442/12 от 01.08.12(364427,89/44178,7*3232,5)</t>
  </si>
  <si>
    <r>
      <t>Управление многоквартирным домом:                                                                                                                                                       ФЗПл АУП 1420628,77/44178,7м</t>
    </r>
    <r>
      <rPr>
        <sz val="10"/>
        <color theme="1"/>
        <rFont val="Calibri"/>
        <family val="2"/>
        <charset val="204"/>
      </rPr>
      <t>² х 3232,5</t>
    </r>
  </si>
  <si>
    <t>Отчет ООО "МЕРИДИАН" о расходовании средств по статье "Содержание и тек. ремонт</t>
  </si>
  <si>
    <t xml:space="preserve">3.1. </t>
  </si>
  <si>
    <t xml:space="preserve">3.8. </t>
  </si>
  <si>
    <t>жилья"  авг. 2012г.-июль 2013г</t>
  </si>
  <si>
    <r>
      <t xml:space="preserve">Адрес: п. Пашия, </t>
    </r>
    <r>
      <rPr>
        <b/>
        <i/>
        <sz val="11"/>
        <color theme="1"/>
        <rFont val="Calibri"/>
        <family val="2"/>
        <charset val="204"/>
        <scheme val="minor"/>
      </rPr>
      <t>ул. Свердловская, 31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Общая площадь квартир 3031,5м</t>
    </r>
    <r>
      <rPr>
        <i/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</si>
  <si>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 2012-июль 2013г</t>
  </si>
  <si>
    <t>ВДГО:  договор №444/12; февр.364427,89/44178,7х3031,5</t>
  </si>
  <si>
    <r>
      <t>Уборка придомовой территории, содерж диспет. службы,контролера:                                                                         ФЗПл дворн. 190895,4:16022,8х1063,3= 12668,14</t>
    </r>
    <r>
      <rPr>
        <sz val="10"/>
        <color theme="1"/>
        <rFont val="Calibri"/>
        <family val="2"/>
        <charset val="204"/>
      </rPr>
      <t>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контр.111600:44178,7х3031,5= 7657,88</t>
    </r>
    <r>
      <rPr>
        <sz val="10"/>
        <color theme="1"/>
        <rFont val="Calibri"/>
        <family val="2"/>
        <charset val="204"/>
      </rPr>
      <t>руб                                                                                                              Отчисл. от ФЗПл- 30,2%  6138,46руб</t>
    </r>
  </si>
  <si>
    <r>
      <t>Дератизация подвальных помещений(согл дог. 1 раз в 2 мес.+обр мусорки)               34050,83/9007,4х729м</t>
    </r>
    <r>
      <rPr>
        <sz val="10"/>
        <color theme="1"/>
        <rFont val="Calibri"/>
        <family val="2"/>
        <charset val="204"/>
      </rPr>
      <t>² =2755,75+1427,24/44178,7*3031,5=2853,69</t>
    </r>
  </si>
  <si>
    <t>Управление многоквартирным домом:                                                                                                                                                       ФЗПл АУП 1420628,77/44178,7*3031,5</t>
  </si>
  <si>
    <r>
      <t xml:space="preserve">Прочие </t>
    </r>
    <r>
      <rPr>
        <sz val="9"/>
        <color theme="1"/>
        <rFont val="Calibri"/>
        <family val="2"/>
        <charset val="204"/>
        <scheme val="minor"/>
      </rPr>
      <t>(ростел.обсл.ком.,типогр.)100497/44178,7*3031,5</t>
    </r>
  </si>
  <si>
    <t xml:space="preserve">Содержание РКЦ: (291338/44178,7*3031,5)                                                                                                                                                              </t>
  </si>
  <si>
    <t>жилья"август 2012г.- июль 2013г</t>
  </si>
  <si>
    <t>Начислено за содержание и текущий ремонт жилья авг.2012г-июль2013</t>
  </si>
  <si>
    <t>Дератизация подвальных помещений(согл догов. 1 раз в 2 мес.)                  34050,83/9007,4*355,1=1342,4+1427,24/44178,7*599,2</t>
  </si>
  <si>
    <r>
      <t>ВДГО: договора №444/12,(</t>
    </r>
    <r>
      <rPr>
        <sz val="9"/>
        <color theme="1"/>
        <rFont val="Calibri"/>
        <family val="2"/>
        <charset val="204"/>
        <scheme val="minor"/>
      </rPr>
      <t>364427,89/44178,7*599,2)</t>
    </r>
  </si>
  <si>
    <t xml:space="preserve">Содержание РКЦ:(291338/44178,7*599,2)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</si>
  <si>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ФЗПл АУП 2м.:1420628,77/44178,7 х 599,2</t>
  </si>
  <si>
    <t>Задолженность по ХВСруб,</t>
  </si>
  <si>
    <r>
      <t>Прочие:</t>
    </r>
    <r>
      <rPr>
        <sz val="9"/>
        <color theme="1"/>
        <rFont val="Calibri"/>
        <family val="2"/>
        <charset val="204"/>
        <scheme val="minor"/>
      </rPr>
      <t>(ростел.обсл.комп.типогр.)100497/44178,7*599,2</t>
    </r>
  </si>
  <si>
    <t>жилья" авг. 2012г.-июль 2013г</t>
  </si>
  <si>
    <r>
      <t xml:space="preserve">дрес: п. Пашия, </t>
    </r>
    <r>
      <rPr>
        <b/>
        <i/>
        <sz val="11"/>
        <color theme="1"/>
        <rFont val="Calibri"/>
        <family val="2"/>
        <charset val="204"/>
        <scheme val="minor"/>
      </rPr>
      <t xml:space="preserve">ул. Свердловская, 37 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Общая площадь квартир 27</t>
    </r>
    <r>
      <rPr>
        <i/>
        <sz val="11"/>
        <color theme="1"/>
        <rFont val="Calibri"/>
        <family val="2"/>
        <charset val="204"/>
      </rPr>
      <t>09,2м</t>
    </r>
    <r>
      <rPr>
        <sz val="11"/>
        <color theme="1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</si>
  <si>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 190895,4:16022,8</t>
    </r>
    <r>
      <rPr>
        <sz val="10"/>
        <color theme="1"/>
        <rFont val="Calibri"/>
        <family val="2"/>
        <charset val="204"/>
      </rPr>
      <t xml:space="preserve"> х 700,96= 8351,23руб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дис.и контр.99614:44178,7*2709,2</t>
    </r>
    <r>
      <rPr>
        <sz val="10"/>
        <color theme="1"/>
        <rFont val="Calibri"/>
        <family val="2"/>
        <charset val="204"/>
      </rPr>
      <t xml:space="preserve"> = 6108,70 руб                                                                                                              Отчисл. от ФЗПл- 30,2% 4366,90руб</t>
    </r>
  </si>
  <si>
    <t>ВДГО: договора №444/12; (364427,89/44178,7х2709,2)</t>
  </si>
  <si>
    <t>Дератизация подв. помещ.обр. мусорки: 34050,83/9007,4х34,1+1427,24/44178,7*2709,2</t>
  </si>
  <si>
    <t xml:space="preserve">Содержание РКЦ: (291338/44178,7*2709,2)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</si>
  <si>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 1420628,77/44944,7м</t>
    </r>
    <r>
      <rPr>
        <sz val="10"/>
        <color theme="1"/>
        <rFont val="Calibri"/>
        <family val="2"/>
        <charset val="204"/>
      </rPr>
      <t>² х 2709,2 = 38145,54</t>
    </r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</si>
  <si>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(ростел.обсл.комп.типогр…)(100497/44178,7*2709,2)</t>
    </r>
  </si>
  <si>
    <r>
      <t>дрес: п. Пашия, ул. Свердловская, 39                         Общая площадь квартир 3310,9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</si>
  <si>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жилья" авг. 2012г- июль 2013г</t>
  </si>
  <si>
    <t>Фактически поступило денежных средств за содержание(оплата)</t>
  </si>
  <si>
    <r>
      <t>Уборка придомовой территории, содерж диспет. службы,контролера:                                                                         ФЗПл дворн. 190895,4:16022,8</t>
    </r>
    <r>
      <rPr>
        <sz val="10"/>
        <color theme="1"/>
        <rFont val="Calibri"/>
        <family val="2"/>
        <charset val="204"/>
      </rPr>
      <t xml:space="preserve"> х 1005= 11973,55руб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</t>
    </r>
    <r>
      <rPr>
        <sz val="10"/>
        <color theme="1"/>
        <rFont val="Calibri"/>
        <family val="2"/>
        <charset val="204"/>
      </rPr>
      <t>х 3310,9 = 8363,68руб                                                                                                              Отчисл. от ФЗПл- 30,2%  6141,84руб</t>
    </r>
  </si>
  <si>
    <t xml:space="preserve">Дератизация подвальн. помещ. обр. мусор.маш.                                               34050,83/9007,4*721,3+1248,36+1427,24/44178,7*3310,9                                                                              </t>
  </si>
  <si>
    <t xml:space="preserve">ВДГО: договор №444/12;(364427,89/ 44178,7 х 3310,9 </t>
  </si>
  <si>
    <t xml:space="preserve">Содержание РКЦ: опл за квитанц., 291338/44178,7*3310,9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</si>
  <si>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1420628,77/44178,7м</t>
    </r>
    <r>
      <rPr>
        <sz val="10"/>
        <color theme="1"/>
        <rFont val="Calibri"/>
        <family val="2"/>
        <charset val="204"/>
      </rPr>
      <t xml:space="preserve">² х 3310,9 </t>
    </r>
  </si>
  <si>
    <r>
      <t>Прочие:</t>
    </r>
    <r>
      <rPr>
        <sz val="9"/>
        <color theme="1"/>
        <rFont val="Calibri"/>
        <family val="2"/>
        <charset val="204"/>
        <scheme val="minor"/>
      </rPr>
      <t>(ростел.обсл.комп.типогр.) 100497/44178,7*3310,9</t>
    </r>
  </si>
  <si>
    <r>
      <t>дрес: п. Пашия, ул.1 Мая 30                                            Общая площадь квартир 3286,6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</si>
  <si>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жилья" август 2012г- июль 2013г</t>
  </si>
  <si>
    <t>Начислено за содержание и текущий ремонт жилья авг.2012-июль 2013</t>
  </si>
  <si>
    <r>
      <t xml:space="preserve">Уборка придомовой территории, содерж диспет. службы,контролера:                                                                         ФЗПл дворн.190895,4:16022,8 </t>
    </r>
    <r>
      <rPr>
        <sz val="10"/>
        <color theme="1"/>
        <rFont val="Calibri"/>
        <family val="2"/>
        <charset val="204"/>
      </rPr>
      <t>х 700,96= 8351,23руб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контр.111600/44178,7*3286,6</t>
    </r>
    <r>
      <rPr>
        <sz val="10"/>
        <color theme="1"/>
        <rFont val="Calibri"/>
        <family val="2"/>
        <charset val="204"/>
      </rPr>
      <t xml:space="preserve"> = 8302,29 руб                                                                                                              Отчисл. от ФЗПл- 30,2 5029,36руб</t>
    </r>
  </si>
  <si>
    <t xml:space="preserve">Дератизация подв.помещ.(согл догов. 1 раз в 2 мес.+ обр мусорки)          34050,83/9007,4х726,7= 2747,16 +1427,24/44178,7*3286,6          </t>
  </si>
  <si>
    <t>жилья" август 2012г - июль 2013г</t>
  </si>
  <si>
    <t xml:space="preserve">Текущий ремонт жилфонда согласно смет </t>
  </si>
  <si>
    <r>
      <t>адрес: п. Пашия, ул. Коммуны 31                                            Общая площадь квартир 1948,8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</si>
  <si>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r>
      <t>адрес: п. Пашия, ул. Ленина 15                                       Общая площадь квартир 1698,1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</si>
  <si>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 xml:space="preserve"> </t>
  </si>
  <si>
    <t xml:space="preserve">Дератизация подвальных помещений(согл догов. 1 раз в 2 мес.)              </t>
  </si>
  <si>
    <r>
      <t>Уборка придомовой территории, содерж диспет. службы,контролера:                                                                         ФЗПл дворн. 190895,4:16022,8</t>
    </r>
    <r>
      <rPr>
        <sz val="10"/>
        <color theme="1"/>
        <rFont val="Calibri"/>
        <family val="2"/>
        <charset val="204"/>
      </rPr>
      <t xml:space="preserve"> х 1183,5= 14100,2руб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</t>
    </r>
    <r>
      <rPr>
        <sz val="10"/>
        <color theme="1"/>
        <rFont val="Calibri"/>
        <family val="2"/>
        <charset val="204"/>
      </rPr>
      <t>х 1698,1 = 4289,58 руб                                                                                                              Отчисл. от ФЗПл- 30,2%  5553,71руб</t>
    </r>
  </si>
  <si>
    <r>
      <t>Дератизация подвальных помещ.(согл догов. 1 раз в 2 мес.+ обр. мусорки)               34050,83/9007,4*233,7м</t>
    </r>
    <r>
      <rPr>
        <sz val="10"/>
        <color theme="1"/>
        <rFont val="Calibri"/>
        <family val="2"/>
        <charset val="204"/>
      </rPr>
      <t xml:space="preserve">²=883,46+1427,24/44178,7*1698,1 </t>
    </r>
  </si>
  <si>
    <t>ВДГО: договор №444/12; (364427,89/44178,7*1698,1)</t>
  </si>
  <si>
    <t xml:space="preserve">Содержание РКЦ: (291338/44178,7*1698,1)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</si>
  <si>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ФЗПл:1420628,77/44178,7*1698,1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</si>
  <si>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(ростел.бсл.комп.типогр.)100497/44178,7*1698,1</t>
    </r>
  </si>
  <si>
    <t>Отчет ООО "Мери диан" о расходовании средств по статье "Содержание и тек. ремонт</t>
  </si>
  <si>
    <t>жилья" август 2012г.- июль 2013г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</si>
  <si>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Ленина 25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453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</si>
  <si>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авг.2012-июль2013</t>
  </si>
  <si>
    <r>
      <t>Уборка придомовой территории, содерж диспет. службы,контролера:                                                                         ФЗПл дворн.190895,4/16022,8м</t>
    </r>
    <r>
      <rPr>
        <sz val="10"/>
        <color theme="1"/>
        <rFont val="Calibri"/>
        <family val="2"/>
        <charset val="204"/>
      </rPr>
      <t>² х 202,42 = 2411,39руб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 х 453</t>
    </r>
    <r>
      <rPr>
        <sz val="10"/>
        <color theme="1"/>
        <rFont val="Calibri"/>
        <family val="2"/>
        <charset val="204"/>
      </rPr>
      <t xml:space="preserve"> = 1144,32 руб                                                                                                              Отчисл. от ФЗПл- 30,2% 1073,82руб</t>
    </r>
  </si>
  <si>
    <t>ВДГО: согласно договора 444/12:(364427,89/44178,7х453)</t>
  </si>
  <si>
    <t xml:space="preserve">Содержание РКЦ: 291338/44178,7*453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</si>
  <si>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(1420628,77/44178,7м</t>
    </r>
    <r>
      <rPr>
        <sz val="10"/>
        <color theme="1"/>
        <rFont val="Calibri"/>
        <family val="2"/>
        <charset val="204"/>
      </rPr>
      <t>² х 453)</t>
    </r>
  </si>
  <si>
    <r>
      <t>Прочие расх.</t>
    </r>
    <r>
      <rPr>
        <sz val="9"/>
        <color theme="1"/>
        <rFont val="Calibri"/>
        <family val="2"/>
        <charset val="204"/>
        <scheme val="minor"/>
      </rPr>
      <t>(ростел.обсл.комп.типогр.)(100497/44178,7х453)</t>
    </r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</si>
  <si>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Ленина 27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412,5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</si>
  <si>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жилья"  август 2012г - июль 2013г</t>
  </si>
  <si>
    <r>
      <t>Уборка придомовой территории, содерж диспет. службы,контролера:                                                                         ФЗПл дворн.190895,4:16022,8</t>
    </r>
    <r>
      <rPr>
        <sz val="10"/>
        <color theme="1"/>
        <rFont val="Calibri"/>
        <family val="2"/>
        <charset val="204"/>
      </rPr>
      <t xml:space="preserve"> х 342,3 = 1078,16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контр.111600:44178,7м</t>
    </r>
    <r>
      <rPr>
        <sz val="10"/>
        <color theme="1"/>
        <rFont val="Calibri"/>
        <family val="2"/>
        <charset val="204"/>
      </rPr>
      <t>² х 412,5 = 1042,02руб                                                                                                              Отчисл. от ФЗПл- 30,2%  640,29 руб</t>
    </r>
  </si>
  <si>
    <r>
      <t>ВДГО: согласно договора №444/12:</t>
    </r>
    <r>
      <rPr>
        <sz val="9"/>
        <color theme="1"/>
        <rFont val="Calibri"/>
        <family val="2"/>
        <charset val="204"/>
        <scheme val="minor"/>
      </rPr>
      <t>(364427,89/44178,7х412,5)</t>
    </r>
  </si>
  <si>
    <t xml:space="preserve">Дератизация подвальных помещений, обраб. мусоровозной машины               34050,83/9007,4х303,6 = 1147,7+1427,24/44178,7х412,5           </t>
  </si>
  <si>
    <t xml:space="preserve">Содержание РКЦ: 291338/44178,7*412,5   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</si>
  <si>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</t>
    </r>
    <r>
      <rPr>
        <sz val="10"/>
        <color theme="1"/>
        <rFont val="Calibri"/>
        <family val="2"/>
        <charset val="204"/>
      </rPr>
      <t xml:space="preserve"> х 412,5</t>
    </r>
  </si>
  <si>
    <r>
      <t>адрес: п. Пашия, ул. Пролетарская, 20                         Общая площадь квартир 4084,5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</si>
  <si>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 190895,4:16022,8м</t>
    </r>
    <r>
      <rPr>
        <sz val="10"/>
        <color theme="1"/>
        <rFont val="Calibri"/>
        <family val="2"/>
        <charset val="204"/>
      </rPr>
      <t>² х 975,8= 11625,67руб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 111600 : 44178,7м</t>
    </r>
    <r>
      <rPr>
        <sz val="10"/>
        <color theme="1"/>
        <rFont val="Calibri"/>
        <family val="2"/>
        <charset val="204"/>
      </rPr>
      <t xml:space="preserve">² х 4084,5 = 10317,87руб                                                                                                              Отчисл. от ФЗПл- 30,2%  6626,95руб                                                                                                                                                </t>
    </r>
  </si>
  <si>
    <t xml:space="preserve">Дератизация подвальных помещений 1 раз в 2 мес.+ обр. мусор. машины 34050,83/9007,4*1070,1= 4045,32 + 1427,24/44178,7*4084,5                                                                                     </t>
  </si>
  <si>
    <t>ВДГО: договор №444/12; (364427,89/44178,7 х 4084,5) + 40210</t>
  </si>
  <si>
    <t xml:space="preserve">Освещение лестничных клеток: (задолж. квартиросъемщ.)                                                                                                                                                        </t>
  </si>
  <si>
    <t>Текущий ремонт ж/ф согласно смет</t>
  </si>
  <si>
    <t xml:space="preserve">Содержание РКЦ: 291338/44178,7*4084,5  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</si>
  <si>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1420628,77/44178,7м</t>
    </r>
    <r>
      <rPr>
        <sz val="10"/>
        <color theme="1"/>
        <rFont val="Calibri"/>
        <family val="2"/>
        <charset val="204"/>
      </rPr>
      <t xml:space="preserve">² х 4084,5 </t>
    </r>
  </si>
  <si>
    <r>
      <t>дрес: п. Пашия, ул.1 Мая 37                                             Общая площадь квартир 2613</t>
    </r>
    <r>
      <rPr>
        <b/>
        <i/>
        <sz val="11"/>
        <color indexed="8"/>
        <rFont val="Calibri"/>
        <family val="2"/>
        <charset val="204"/>
      </rPr>
      <t>м</t>
    </r>
    <r>
      <rPr>
        <b/>
        <sz val="11"/>
        <color indexed="8"/>
        <rFont val="Calibri"/>
        <family val="2"/>
        <charset val="204"/>
      </rPr>
      <t>²</t>
    </r>
  </si>
  <si>
    <t>жилья" август 2012г.-июль 2013</t>
  </si>
  <si>
    <r>
      <t>дрес: п. Пашия, ул.1 Мая 34                                             Общая площадь квартир 3858</t>
    </r>
    <r>
      <rPr>
        <b/>
        <i/>
        <sz val="11"/>
        <color indexed="8"/>
        <rFont val="Calibri"/>
        <family val="2"/>
        <charset val="204"/>
      </rPr>
      <t>м</t>
    </r>
    <r>
      <rPr>
        <b/>
        <sz val="11"/>
        <color indexed="8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</si>
  <si>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 190895,7:16022,8</t>
    </r>
    <r>
      <rPr>
        <sz val="10"/>
        <color indexed="8"/>
        <rFont val="Calibri"/>
        <family val="2"/>
        <charset val="204"/>
      </rPr>
      <t xml:space="preserve"> х 1029,77= 12268,44 руб                                                                            ФЗПл</t>
    </r>
    <r>
      <rPr>
        <sz val="10"/>
        <color indexed="8"/>
        <rFont val="Calibri"/>
        <family val="2"/>
        <charset val="204"/>
      </rPr>
      <t xml:space="preserve"> дисп.и контр.111600:44178,7</t>
    </r>
    <r>
      <rPr>
        <sz val="10"/>
        <color indexed="8"/>
        <rFont val="Calibri"/>
        <family val="2"/>
        <charset val="204"/>
      </rPr>
      <t xml:space="preserve"> х 3858 = 9745,71 руб                                                                                                              Отчисл. от ФЗПл- 30,2%  6648,27</t>
    </r>
  </si>
  <si>
    <t xml:space="preserve">Дератизация подвальных помещ.(по догов. 1 раз в 2 мес.+ обр.мусорки) 34050,83/9007,4*839,4= 3173,2 + 1427,24/44178,7*3858         </t>
  </si>
  <si>
    <t>ВДГО: договор №444/12; (364427,89/44178,7 х 3858)</t>
  </si>
  <si>
    <t xml:space="preserve">Содержание РКЦ: (291338/44178,7*3858)                                                                                                                                                                                     </t>
  </si>
  <si>
    <t xml:space="preserve">Управление многоквартирным домом:                                                                ФЗПл АУП: 1420628,77/44178,7м²*3858                                                                                                                                                      </t>
  </si>
  <si>
    <t>3.11.</t>
  </si>
  <si>
    <t>Прочие:(ростел.обсл.комп.типогр.)(100497/44178,7*3858</t>
  </si>
  <si>
    <t>жилья" август 2012г - июль 2013</t>
  </si>
  <si>
    <r>
      <t>Уборка придомовой территории, содерж диспет. службы,контролера:                                                                         ФЗПл дворн. 190895,4 : 16022,8</t>
    </r>
    <r>
      <rPr>
        <sz val="10"/>
        <color theme="1"/>
        <rFont val="Calibri"/>
        <family val="2"/>
        <charset val="204"/>
      </rPr>
      <t xml:space="preserve"> х 1689,5= 20128,68 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</t>
    </r>
    <r>
      <rPr>
        <sz val="10"/>
        <color theme="1"/>
        <rFont val="Calibri"/>
        <family val="2"/>
        <charset val="204"/>
      </rPr>
      <t xml:space="preserve"> х 1948,8 = 4922,87 руб                                                                                                              Отчисл. от ФЗПл- 30,2%   7565,57руб                                                                         </t>
    </r>
  </si>
  <si>
    <t xml:space="preserve">ВДГО: договора №444/13; 364427,89 : 44178,7 х 1948,8 </t>
  </si>
  <si>
    <t xml:space="preserve">Содержание РКЦ: 291338/44178,7*1948,8   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</si>
  <si>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1420628,77/44178,7х1948,8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</si>
  <si>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 обсл.комп.типогр.)100497/44178,7х1948,8</t>
    </r>
  </si>
  <si>
    <r>
      <t>Дератизация подвальных помещ.  1 раз в 2 мес.+ обр. мусоров. Машины, обр. от блох: 34050,83/9007,4 х 549,5м</t>
    </r>
    <r>
      <rPr>
        <sz val="10"/>
        <color theme="1"/>
        <rFont val="Calibri"/>
        <family val="2"/>
        <charset val="204"/>
      </rPr>
      <t>² =2077,28+ 1427,24/44178,7 х 1948,8+962,51</t>
    </r>
  </si>
  <si>
    <t xml:space="preserve">Содержание РКЦ: 291338/44178,7*3286,6     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</si>
  <si>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1420628,77/44178,7м</t>
    </r>
    <r>
      <rPr>
        <sz val="10"/>
        <color theme="1"/>
        <rFont val="Calibri"/>
        <family val="2"/>
        <charset val="204"/>
      </rPr>
      <t xml:space="preserve">² х 3286,6 </t>
    </r>
  </si>
  <si>
    <t>Уборка придомовой территории, содерж диспет. службы,контролера:                                                                         ФЗПл дворн.190895,4 : 16022,8м² х 947,46= 11280,02 руб                                                                            ФЗПл дисп.и контр.111600:44178,7м² х 2613 = 6600,71 руб                                                                                                              Отчисл. от ФЗПл- 30,2% 5399,98руб</t>
  </si>
  <si>
    <t xml:space="preserve">Дератизация подвальных помещений 1 раз в 2 мес.и обр. мусор. машины  34050,83/9007,4*549,5              </t>
  </si>
  <si>
    <t>ВДГО: договор №444/12 (364427,89 : 44178,7 х 2613)</t>
  </si>
  <si>
    <t xml:space="preserve">Содержание РКЦ: 291338/44178,7*2613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</si>
  <si>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1420628,77/44178,7*2613</t>
  </si>
  <si>
    <t>Прочие: (ростел. Обсл. комп. типогр.) 100497/44178,7*2613</t>
  </si>
  <si>
    <t>ВДГО: договора №444/12;февр. 364427,89 : 44178,7 х 3286,6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</si>
  <si>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 обсл. комп. типогр.) (100497/44178,7*3286,6)</t>
    </r>
  </si>
  <si>
    <r>
      <t>Уборка придомовой территории, содерж диспет. службы,контролера:                                                                         ФЗПл дворн.3мес. 33757:44715,3</t>
    </r>
    <r>
      <rPr>
        <sz val="10"/>
        <color theme="1"/>
        <rFont val="Calibri"/>
        <family val="2"/>
        <charset val="204"/>
      </rPr>
      <t xml:space="preserve"> х 506,33= 382,24 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контр.66814,65:44944,7</t>
    </r>
    <r>
      <rPr>
        <sz val="10"/>
        <color theme="1"/>
        <rFont val="Calibri"/>
        <family val="2"/>
        <charset val="204"/>
      </rPr>
      <t xml:space="preserve">х 895,9 = 1331,84 руб                                                                                                              Отчисл. от ФЗПл- 34%  582,79руб                                                                       </t>
    </r>
  </si>
  <si>
    <t xml:space="preserve">Дератизация подвальных помещений, обр. мусоров. Машины                               1427,24/44178,7*895,9             </t>
  </si>
  <si>
    <t xml:space="preserve">ВДГО: договор №444/12; (364427,89/44178: х 895,9) 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</si>
  <si>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Коммуны 29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895,9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</si>
  <si>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 xml:space="preserve">Содержание РКЦ: 291338/44178,7*895,9                                                                                                                                                                                         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</si>
  <si>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 обсл. комп. типогр.) 100497/44178,7*895,9</t>
    </r>
  </si>
  <si>
    <r>
      <t>Управление многоквартирным домом:                                                                                                                                                       ФЗПл АУП:1420628,77 /44178,7м</t>
    </r>
    <r>
      <rPr>
        <sz val="10"/>
        <color theme="1"/>
        <rFont val="Calibri"/>
        <family val="2"/>
        <charset val="204"/>
      </rPr>
      <t>² х 895,9</t>
    </r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</si>
  <si>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Ленина 10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672,2</t>
    </r>
    <r>
      <rPr>
        <i/>
        <sz val="11"/>
        <color theme="1"/>
        <rFont val="Calibri"/>
        <family val="2"/>
        <charset val="204"/>
      </rPr>
      <t>м</t>
    </r>
    <r>
      <rPr>
        <sz val="11"/>
        <color theme="1"/>
        <rFont val="Calibri"/>
        <family val="2"/>
        <charset val="204"/>
      </rPr>
      <t>²</t>
    </r>
  </si>
  <si>
    <r>
      <t>Дератизация подвальных помещен. 1 раз в 2 мес.+ обр. мусор. машины              34050,83/9007,4х235,7м</t>
    </r>
    <r>
      <rPr>
        <sz val="10"/>
        <color theme="1"/>
        <rFont val="Calibri"/>
        <family val="2"/>
        <charset val="204"/>
      </rPr>
      <t>²= 891,02+1427,24/44178,7*672,2</t>
    </r>
  </si>
  <si>
    <t>ВДГО: согласно договора №444/12: (364427,89/44178,7х672,2)</t>
  </si>
  <si>
    <t xml:space="preserve">Содержание РКЦ: 291338/44178,7*672,2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</si>
  <si>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1420628,77/44178,7*672,2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</si>
  <si>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(ростел.обсл.комп.типогр.) 100497/44178,7*672,2</t>
    </r>
  </si>
  <si>
    <r>
      <t>Уборка придомовой территории, содерж диспет. службы,контролера:                                                                         ФЗПл дворн.190895,4/16022,8</t>
    </r>
    <r>
      <rPr>
        <sz val="10"/>
        <color theme="1"/>
        <rFont val="Calibri"/>
        <family val="2"/>
        <charset val="204"/>
      </rPr>
      <t xml:space="preserve"> х 250= 2978,5руб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</t>
    </r>
    <r>
      <rPr>
        <sz val="10"/>
        <color theme="1"/>
        <rFont val="Calibri"/>
        <family val="2"/>
        <charset val="204"/>
      </rPr>
      <t xml:space="preserve"> х 672,2 = 1698,05 руб                                                                                                              Отчисл. от ФЗПл- 30,2%   1412,32руб</t>
    </r>
  </si>
  <si>
    <t>ВДГО: согласно договора - нет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</si>
  <si>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М-Горького 5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600,6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</si>
  <si>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авг2012г-июль 2013</t>
  </si>
  <si>
    <t xml:space="preserve">Текущий ремонт жилфонда согласно смет, в том числе:                           № 78 октябрь 2012: Замена пускателей магнитных  -15495руб               № 32 май 2013г : Ремонт металлической кровли - 13192руб                              </t>
  </si>
  <si>
    <r>
      <t xml:space="preserve">Уборка придомовой территории, содерж диспет. службы,контролера:                                                                         ФЗПл дворн. -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 44178,8</t>
    </r>
    <r>
      <rPr>
        <sz val="10"/>
        <color theme="1"/>
        <rFont val="Calibri"/>
        <family val="2"/>
        <charset val="204"/>
      </rPr>
      <t xml:space="preserve"> х 600,6 = 1517,17 руб                                                                                                              Отчисл. от ФЗПл- 30,2%  458,18руб</t>
    </r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</si>
  <si>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слесарь:5час х 42,42 х 1,15 х 2чел = 487,83руб                                                                                                        Электрик 4час х 36,36 х 1,15 х 1чел = 167,26руб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4час х 60,6 х 1,15 = 278,86руб                                                                                                                        б)Отчисл. от ФЗПл: 30,2   282,02руб                                                                                                                                              в)материалы:  эл/тэн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</si>
  <si>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Дератизация подвальных помещ. и обр. мусоровоз. машины            </t>
  </si>
  <si>
    <t xml:space="preserve">Содержание РКЦ: 291338/44178,7*600,6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</si>
  <si>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 1420628,77/44178,7</t>
    </r>
    <r>
      <rPr>
        <sz val="10"/>
        <color theme="1"/>
        <rFont val="Calibri"/>
        <family val="2"/>
        <charset val="204"/>
      </rPr>
      <t xml:space="preserve"> х 600,6</t>
    </r>
  </si>
  <si>
    <t>Прочие: (ростел.обсл.комп.типогр.)100497/44178,7*600,6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</si>
  <si>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Свердловская 42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357,1</t>
    </r>
    <r>
      <rPr>
        <i/>
        <sz val="11"/>
        <color theme="1"/>
        <rFont val="Calibri"/>
        <family val="2"/>
        <charset val="204"/>
      </rPr>
      <t>м</t>
    </r>
    <r>
      <rPr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</si>
  <si>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авг.2012г-июль 2013</t>
  </si>
  <si>
    <r>
      <t>Дератизация подвальных помещ.1 раз в 2 мес.+ обр. мусоровоз машины              34050,83/9007,4 х 91,4м</t>
    </r>
    <r>
      <rPr>
        <sz val="10"/>
        <color theme="1"/>
        <rFont val="Calibri"/>
        <family val="2"/>
        <charset val="204"/>
      </rPr>
      <t>²= 345,52+1427,24/44178,7х357,1</t>
    </r>
  </si>
  <si>
    <t>ВДГО: согласно договора №444/12: (364427,89/44178,7х357,1)</t>
  </si>
  <si>
    <t xml:space="preserve">Содержание РКЦ: (291338/44178,7*357,1)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</si>
  <si>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(1420628,77/44178,7*357,1)</t>
  </si>
  <si>
    <r>
      <t>Прочие расх.(</t>
    </r>
    <r>
      <rPr>
        <sz val="9"/>
        <color theme="1"/>
        <rFont val="Calibri"/>
        <family val="2"/>
        <charset val="204"/>
        <scheme val="minor"/>
      </rPr>
      <t>ростел.обсл.комп.типогр.)100497/44178,7*357,1</t>
    </r>
  </si>
  <si>
    <r>
      <t>Уборка придомовой территории, содерж диспет. службы,контролера:                                                                         ФЗПл дворн.190895,4 : 16022,8м</t>
    </r>
    <r>
      <rPr>
        <sz val="10"/>
        <color theme="1"/>
        <rFont val="Calibri"/>
        <family val="2"/>
        <charset val="204"/>
      </rPr>
      <t>² х 370 = 4408,17руб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</t>
    </r>
    <r>
      <rPr>
        <sz val="10"/>
        <color theme="1"/>
        <rFont val="Calibri"/>
        <family val="2"/>
        <charset val="204"/>
      </rPr>
      <t xml:space="preserve"> х 357,1 = 902,07руб                                                                                                              Отчисл. от ФЗПл- 30,2% 1603,69 руб</t>
    </r>
  </si>
  <si>
    <t>Отчет ООО "УК "Профи" о расходовании средств по статье "Содержание и тек. ремонт</t>
  </si>
  <si>
    <t>жилья"  за август - декабрь 2011г.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</si>
  <si>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Свердловская 44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147,8</t>
    </r>
    <r>
      <rPr>
        <i/>
        <sz val="11"/>
        <color theme="1"/>
        <rFont val="Calibri"/>
        <family val="2"/>
        <charset val="204"/>
      </rPr>
      <t>м</t>
    </r>
    <r>
      <rPr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</si>
  <si>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авг-декаб.2011г</t>
  </si>
  <si>
    <t xml:space="preserve">Дератизация подвальных помещений(согл догов. 1 раз в 2 мес.)               </t>
  </si>
  <si>
    <t>жилья"  за август 2012г - июль 2013г</t>
  </si>
  <si>
    <t>ВДГО: согласно договора №444/12: 364427,89/44178,7*147,8</t>
  </si>
  <si>
    <t xml:space="preserve">Содержание РКЦ: 291338/44178,7*147,8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</si>
  <si>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 * 147,8</t>
  </si>
  <si>
    <t>Прочие расх:(ростел.обсл.комп.типогр.)</t>
  </si>
  <si>
    <t>жилья"  за август 2012г.- июль 2013г</t>
  </si>
  <si>
    <t xml:space="preserve">Дератизация подвальных помещ. 1р в 2 мес.+ обр мусоров. машины         34050,83/9007,4*0 + 1427,24/44178,7*147,8             </t>
  </si>
  <si>
    <r>
      <t>Уборка придомовой территории, содерж диспет. службы,контролера:                                                                         ФЗПл дворн.190895,4/16022,8</t>
    </r>
    <r>
      <rPr>
        <sz val="10"/>
        <color theme="1"/>
        <rFont val="Calibri"/>
        <family val="2"/>
        <charset val="204"/>
      </rPr>
      <t xml:space="preserve"> х 240 = 2859,36руб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конт.111600/44178,7</t>
    </r>
    <r>
      <rPr>
        <sz val="10"/>
        <color theme="1"/>
        <rFont val="Calibri"/>
        <family val="2"/>
        <charset val="204"/>
      </rPr>
      <t xml:space="preserve"> х 147,8 = 373,36 руб                                                                                                              Отчисл. от ФЗПл- 30,2%  976,28руб</t>
    </r>
  </si>
  <si>
    <r>
      <t>Уборка придомовой территории, содерж диспет. службы,контролера:                                                                         ФЗПл дворн.190895,4/16022,8</t>
    </r>
    <r>
      <rPr>
        <sz val="10"/>
        <color theme="1"/>
        <rFont val="Calibri"/>
        <family val="2"/>
        <charset val="204"/>
      </rPr>
      <t xml:space="preserve"> х 236,2= 2814,08руб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контр.111600/44178,7</t>
    </r>
    <r>
      <rPr>
        <sz val="10"/>
        <color theme="1"/>
        <rFont val="Calibri"/>
        <family val="2"/>
        <charset val="204"/>
      </rPr>
      <t xml:space="preserve"> х 361,4 = 912,93руб                                                                                                              Отчисл. от ФЗПл- 30,2%    1125,55руб</t>
    </r>
  </si>
  <si>
    <r>
      <t>Дератизация подвальных помещений 1 раз в 2 мес.+ обр.мусор.машины               34050,83/9007,4*193,8м</t>
    </r>
    <r>
      <rPr>
        <sz val="10"/>
        <color theme="1"/>
        <rFont val="Calibri"/>
        <family val="2"/>
        <charset val="204"/>
      </rPr>
      <t xml:space="preserve">²=731,11+1427,24/44178,7*361,4 </t>
    </r>
  </si>
  <si>
    <t>ВДГО: согласно договора №444/12: 364427,89/44178,7*361,4</t>
  </si>
  <si>
    <t xml:space="preserve">Содержание РКЦ: 291338/44178,7*361,4 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</si>
  <si>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 1420628,77/44178,7*361,4</t>
  </si>
  <si>
    <t>Прочие: (ростел.обсл.комп.типогр.) 100497/44178,7*361,4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</si>
  <si>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Свердловская 52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361,4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</si>
  <si>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t>жилья"  за август 2012 - июль 2013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</si>
  <si>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Строителей 2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443,1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</si>
  <si>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дворн.190895,4 :16022,8</t>
    </r>
    <r>
      <rPr>
        <sz val="10"/>
        <color theme="1"/>
        <rFont val="Calibri"/>
        <family val="2"/>
        <charset val="204"/>
      </rPr>
      <t xml:space="preserve"> х 173,6= 2068,27руб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 </t>
    </r>
    <r>
      <rPr>
        <sz val="10"/>
        <color theme="1"/>
        <rFont val="Calibri"/>
        <family val="2"/>
        <charset val="204"/>
      </rPr>
      <t>х 443,1 = 1119,32 руб                                                                                                              Отчисл. от ФЗПл- 30,2%  962,65руб</t>
    </r>
  </si>
  <si>
    <t>ВДГО: согласно договора №444/12: (364427,89/44178,7*443,1)</t>
  </si>
  <si>
    <t xml:space="preserve">Содержание РКЦ: 291338/44178,7*443,1    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</si>
  <si>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</t>
    </r>
    <r>
      <rPr>
        <sz val="10"/>
        <color theme="1"/>
        <rFont val="Calibri"/>
        <family val="2"/>
        <charset val="204"/>
      </rPr>
      <t xml:space="preserve"> х 443,1</t>
    </r>
  </si>
  <si>
    <t>Прочие: (ростел. обсл.комп.типогр.)100497/44178,7*443,1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</si>
  <si>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К-Маркса 69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441,2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</si>
  <si>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дворн.190895 : 16022,8</t>
    </r>
    <r>
      <rPr>
        <sz val="10"/>
        <color theme="1"/>
        <rFont val="Calibri"/>
        <family val="2"/>
        <charset val="204"/>
      </rPr>
      <t xml:space="preserve"> х 364,5 = 4342,64руб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контр.111600/44178,7</t>
    </r>
    <r>
      <rPr>
        <sz val="10"/>
        <color theme="1"/>
        <rFont val="Calibri"/>
        <family val="2"/>
        <charset val="204"/>
      </rPr>
      <t xml:space="preserve"> х 441,2 = 1072,12 руб                                                                                                              Отчисл. от ФЗПл- 30,2%  1635,26руб</t>
    </r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</si>
  <si>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К-Маркса 71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Общая площадь квартир 455,3</t>
    </r>
    <r>
      <rPr>
        <i/>
        <sz val="11"/>
        <color theme="1"/>
        <rFont val="Calibri"/>
        <family val="2"/>
        <charset val="204"/>
      </rPr>
      <t>м</t>
    </r>
    <r>
      <rPr>
        <sz val="11"/>
        <color theme="1"/>
        <rFont val="Calibri"/>
        <family val="2"/>
        <charset val="204"/>
      </rPr>
      <t>²</t>
    </r>
  </si>
  <si>
    <t xml:space="preserve">Дератизация подвальных помещ. 1 раз в 2 мес.и обр. мусор. машины     1427,24/44178,7*441,2 = 14,25руб            </t>
  </si>
  <si>
    <t>ВДГО: согласно договора №444/12: (364427,89/44178,7*441,2)</t>
  </si>
  <si>
    <t xml:space="preserve">Содержание РКЦ: 291338/44178,7*441,2 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</si>
  <si>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1420628,77/44178,7*441,2</t>
  </si>
  <si>
    <t>Прочие:(ростел.обсл.комп.типогр.) 100497/44178,7*441,2</t>
  </si>
  <si>
    <t>Текущий ремонт жилфонда согласно смет:</t>
  </si>
  <si>
    <r>
      <t>Уборка придомовой территории, содерж диспет. службы,контролера:                                                                         ФЗПл дворн: 190895,4 :16022,8</t>
    </r>
    <r>
      <rPr>
        <sz val="10"/>
        <color theme="1"/>
        <rFont val="Calibri"/>
        <family val="2"/>
        <charset val="204"/>
      </rPr>
      <t xml:space="preserve"> х 315 = 3752,91руб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</t>
    </r>
    <r>
      <rPr>
        <sz val="10"/>
        <color theme="1"/>
        <rFont val="Calibri"/>
        <family val="2"/>
        <charset val="204"/>
      </rPr>
      <t xml:space="preserve"> х 455,3 = 1150,14руб                                                                                                              Отчисл. от ФЗПл- 30,2% 1480,72 руб</t>
    </r>
  </si>
  <si>
    <t>Обр. мусоровозной машины: 1427,24/44178,7*455,3</t>
  </si>
  <si>
    <t>ВДГО: согласно договора №444/12:364427,89/44178,7*455,3+11183р</t>
  </si>
  <si>
    <t xml:space="preserve">Содержание РКЦ: 291338/44178,7*455,3     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</si>
  <si>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 5мес 1420628,77/44178,7</t>
    </r>
    <r>
      <rPr>
        <sz val="10"/>
        <color theme="1"/>
        <rFont val="Calibri"/>
        <family val="2"/>
        <charset val="204"/>
      </rPr>
      <t xml:space="preserve"> х 455,3</t>
    </r>
  </si>
  <si>
    <t>Прочие: (ростел.обсл.комп.типогр.) 100497/44178,7*455,3</t>
  </si>
  <si>
    <r>
      <t>адрес: п. Пашия, ул. Свердловская 27                                   Общая площадь квартир 4244,4 м</t>
    </r>
    <r>
      <rPr>
        <b/>
        <sz val="11"/>
        <color theme="1"/>
        <rFont val="Calibri"/>
        <family val="2"/>
        <charset val="204"/>
      </rPr>
      <t>²</t>
    </r>
  </si>
  <si>
    <t>Начислено за содержание и текущий ремонт жилья авг.2012 - июль2013</t>
  </si>
  <si>
    <r>
      <t>Уборка придомовой территории, содерж диспет. службы,контролера:                                                                         ФЗПл дворн. 190895,4 : 16022,8</t>
    </r>
    <r>
      <rPr>
        <sz val="10"/>
        <color theme="1"/>
        <rFont val="Calibri"/>
        <family val="2"/>
        <charset val="204"/>
      </rPr>
      <t xml:space="preserve"> х 1112= 13248,35 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</t>
    </r>
    <r>
      <rPr>
        <sz val="10"/>
        <color theme="1"/>
        <rFont val="Calibri"/>
        <family val="2"/>
        <charset val="204"/>
      </rPr>
      <t xml:space="preserve"> х 4244,4 = 10721,8 руб                            Отчисл. от ФЗПл- 30,2%  7238,98руб</t>
    </r>
  </si>
  <si>
    <r>
      <t>Дератизация подвальных помещ.1 раз в 2 мес.+ обр. мусор. машины        34050,83/9007,4*1112м</t>
    </r>
    <r>
      <rPr>
        <sz val="10"/>
        <color theme="1"/>
        <rFont val="Calibri"/>
        <family val="2"/>
        <charset val="204"/>
      </rPr>
      <t>²=4203,71+1427,24/44178,7*4244,4</t>
    </r>
  </si>
  <si>
    <t xml:space="preserve">ВДГО: договор №444/12;364427,89/44178,7 х 4244,4 </t>
  </si>
  <si>
    <t xml:space="preserve">Содержание РКЦ: 291338/44178,7*4244,4                                                                                                                                                                                        </t>
  </si>
  <si>
    <t>Управление многоквартирным домом:                                                                                                                                                       ФЗПл АУП: 1420628,77/44178,7*4244,4</t>
  </si>
  <si>
    <t>Прочие: (ростел.обсл.комп. типогр.) 100497/44178,7*3310,9</t>
  </si>
  <si>
    <r>
      <rPr>
        <b/>
        <i/>
        <sz val="11"/>
        <color theme="1"/>
        <rFont val="Calibri"/>
        <family val="2"/>
        <charset val="204"/>
        <scheme val="minor"/>
      </rPr>
      <t>адрес: п. Пашия, ул. Свердловская 25</t>
    </r>
    <r>
      <rPr>
        <i/>
        <sz val="11"/>
        <color theme="1"/>
        <rFont val="Calibri"/>
        <family val="2"/>
        <charset val="204"/>
        <scheme val="minor"/>
      </rPr>
      <t xml:space="preserve">               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255,3</t>
    </r>
    <r>
      <rPr>
        <b/>
        <i/>
        <sz val="11"/>
        <color theme="1"/>
        <rFont val="Calibri"/>
        <family val="2"/>
        <charset val="204"/>
      </rPr>
      <t>м</t>
    </r>
    <r>
      <rPr>
        <b/>
        <sz val="11"/>
        <color theme="1"/>
        <rFont val="Calibri"/>
        <family val="2"/>
        <charset val="204"/>
      </rPr>
      <t>²</t>
    </r>
  </si>
  <si>
    <r>
      <t>Уборка придомовой территории, содерж диспет. службы,контролера:                                                                         ФЗПл дворн.190895,4 :16022,8</t>
    </r>
    <r>
      <rPr>
        <sz val="10"/>
        <color theme="1"/>
        <rFont val="Calibri"/>
        <family val="2"/>
        <charset val="204"/>
      </rPr>
      <t xml:space="preserve"> х 360 = 4289,03руб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 : 44178,7 </t>
    </r>
    <r>
      <rPr>
        <sz val="10"/>
        <color theme="1"/>
        <rFont val="Calibri"/>
        <family val="2"/>
        <charset val="204"/>
      </rPr>
      <t>х 255,3 = 644,91 руб                                                                                                              Отчисл. от ФЗПл- 30,2%  1490,05руб</t>
    </r>
  </si>
  <si>
    <t>ВДГО: согласно договора №444/12: (364427,89/44178,7*255,3)</t>
  </si>
  <si>
    <t xml:space="preserve">Содержание РКЦ: 291338/44178,7*255,3                                                                                                                                                                                  </t>
  </si>
  <si>
    <r>
      <t>Управление многоквартирным домом:                                                                                                                                                       ФЗПл АУП: 1420628,77/44178,7</t>
    </r>
    <r>
      <rPr>
        <sz val="10"/>
        <color theme="1"/>
        <rFont val="Calibri"/>
        <family val="2"/>
        <charset val="204"/>
      </rPr>
      <t xml:space="preserve"> х 255,3</t>
    </r>
  </si>
  <si>
    <t>Прочие: (ростел. обсл.комп.типогр.)100497/44178,7*255,3</t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</si>
  <si>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 Обсл.комп. типогр.)</t>
    </r>
  </si>
  <si>
    <r>
      <t xml:space="preserve">Прочие: </t>
    </r>
    <r>
      <rPr>
        <sz val="9"/>
        <color theme="1"/>
        <rFont val="Calibri"/>
        <family val="2"/>
        <charset val="204"/>
        <scheme val="minor"/>
      </rPr>
      <t>(ростел. обсл. комп. типогр.)100497/44178,7*412,5</t>
    </r>
  </si>
  <si>
    <t xml:space="preserve">Содержание мусоровозной машины:                                                                             ФЗпл водителя с отчис. -5мес: 57500*1,302/44178,7*3932 = 6663,15руб            материалы: ГСМ+ запчасти: 2035л*30,9р= (62881,5+38479)/44178,7*3932      аренда согл. догов. (7080х12мес=84960руб/44178,7*3932                                                                                                                                             </t>
  </si>
  <si>
    <t xml:space="preserve"> Содержание мусоровоз. машины:                                                                             ФЗПл водителя с отчислен. :5мес:57500*1,302/44178,7*4244,4=7192,54        материалы:ГСМ+запчасти: 2035лх30,9р=(62881,5+38479)/44178,7*4244,4 Аренда по догов.:7080рх12мес=84960/44178,7*4244,4=8162,40                                                                                                                                             </t>
  </si>
  <si>
    <t>Аренда6 (помещения) (24828,89/44178,7*4244,4)</t>
  </si>
  <si>
    <t>Содержание мусоровозной машины:                                                                   ФЗПл водителя: 57500х 1,302/44178,7*3232,5=5477,78руб                          материалы: ГСМ+запчасти:2035лх30,90=(62881,5+38479)/44178,7*3232,5=7416,42   Аренда а/м:7080рх12мес=84960/44178,7*3232,5=6216,42</t>
  </si>
  <si>
    <t>Аренда (помещения) (24828,89/44178,7*3232,5)</t>
  </si>
  <si>
    <t>Содержание мусоровозной машины:                                                                           ФЗПл водителя:57500х1,302/44178,7*3031,5=5137,16руб                                    материалы:ГСМ+запчасти:2035лх30,9=(62881,5+38479)/44178,7*3031,5       Аренда а/м: 7080х12мес=84960/44178,7*3031,5=5829,87</t>
  </si>
  <si>
    <r>
      <t xml:space="preserve">Аренда (помещения) </t>
    </r>
    <r>
      <rPr>
        <sz val="9"/>
        <color theme="1"/>
        <rFont val="Calibri"/>
        <family val="2"/>
        <charset val="204"/>
        <scheme val="minor"/>
      </rPr>
      <t>24828,89/44178,7*3031,5</t>
    </r>
  </si>
  <si>
    <t xml:space="preserve">Содержание мусоровозной машины:                                                                     ФЗПл водителя:57500х1,302/44178,7*599,2= 1015,40руб                                Материалы: ГСМ+запчасти (62881,5+38479)/44178,7*599,2 =1374,76         Аренда а/м: 7080х12мес=84960/44178,7*599,2=1152,32руб                                        </t>
  </si>
  <si>
    <r>
      <t>Аренда помещения:</t>
    </r>
    <r>
      <rPr>
        <sz val="9"/>
        <color theme="1"/>
        <rFont val="Calibri"/>
        <family val="2"/>
        <charset val="204"/>
        <scheme val="minor"/>
      </rPr>
      <t xml:space="preserve"> 24828,89/44178,7*599,2</t>
    </r>
  </si>
  <si>
    <r>
      <t xml:space="preserve">Адрес: п. Пашия, </t>
    </r>
    <r>
      <rPr>
        <b/>
        <i/>
        <sz val="11"/>
        <color theme="1"/>
        <rFont val="Calibri"/>
        <family val="2"/>
        <charset val="204"/>
        <scheme val="minor"/>
      </rPr>
      <t xml:space="preserve">ул. Свердловская, 33  </t>
    </r>
    <r>
      <rPr>
        <i/>
        <sz val="11"/>
        <color theme="1"/>
        <rFont val="Calibri"/>
        <family val="2"/>
        <charset val="204"/>
        <scheme val="minor"/>
      </rPr>
      <t xml:space="preserve">                       Общая площадь квартир </t>
    </r>
    <r>
      <rPr>
        <b/>
        <i/>
        <sz val="11"/>
        <color theme="1"/>
        <rFont val="Calibri"/>
        <family val="2"/>
        <charset val="204"/>
        <scheme val="minor"/>
      </rPr>
      <t>599,2м</t>
    </r>
    <r>
      <rPr>
        <b/>
        <i/>
        <sz val="11"/>
        <color theme="1"/>
        <rFont val="Calibri"/>
        <family val="2"/>
        <charset val="204"/>
      </rPr>
      <t>²</t>
    </r>
  </si>
  <si>
    <t>Содержание мусоровозной машины:                                                                   ФЗПл водителя: 57500х1,302/44178,7*2709,2= 4591руб                                Материалы: ГСМ,Запчасти(62881,5+38479)/44178,7*2709,2=6215,8руб  Аренда а/м: 7080х12мес=84960/44178,7*2709,2=5210,06руб</t>
  </si>
  <si>
    <r>
      <t>Аренда помещ.</t>
    </r>
    <r>
      <rPr>
        <sz val="9"/>
        <color theme="1"/>
        <rFont val="Calibri"/>
        <family val="2"/>
        <charset val="204"/>
        <scheme val="minor"/>
      </rPr>
      <t xml:space="preserve"> 24828,89/44178,7*2709,2</t>
    </r>
  </si>
  <si>
    <t>Содержание мусоровозной машины:                                                                     ФЗПл водителя: 57500*1,302/44178,7*3310,9=5610,63руб                             Материалы:ГСМ,запчасти (62881,5+38479)/44178,7*3310,9=7596,30руб  Аренда а/м: 7080х12мес=84960/44178,7*3310,9=6367,19руб</t>
  </si>
  <si>
    <r>
      <t xml:space="preserve">Аренда помещения: </t>
    </r>
    <r>
      <rPr>
        <sz val="9"/>
        <color theme="1"/>
        <rFont val="Calibri"/>
        <family val="2"/>
        <charset val="204"/>
        <scheme val="minor"/>
      </rPr>
      <t>24828,89/44178,7*3310,9</t>
    </r>
  </si>
  <si>
    <t>Содержание мусоровозной машины:                                                                    ФЗПл водителя 5м:74865/44178,7*3286,6= 5569,46руб                                  Материалы:ГСМ, запчасти(62881,5+38479)/44178,7*3286,6=7540,54р     Аренда а/м: 7080х12мес=84960/44178,7*3286,6= 6320,46руб</t>
  </si>
  <si>
    <t>Аренда помещения 24828,89/44178,7*3286,6</t>
  </si>
  <si>
    <t>Содержани е мусоровозной машины:                                                                    ФЗПл водителя:74865/44178,7*3858=6537,75руб                                              Материалы: ГСМ, запчасти(62881,5+38479)/44178,7*3858=8851,52руб    Аренда а/м: 7080х12мес=84960/44178,7*3858=7419,31руб</t>
  </si>
  <si>
    <t>Аренда помещения: 24828,89/44178,8*3858</t>
  </si>
  <si>
    <t>Аренда помещения  24828,89/44178,7*2613</t>
  </si>
  <si>
    <t>Содержание мусоровозной машины:                                                                        ФЗПл водителя: 74865/44178,7*2613=4427,98руб                                                 Материалы: ГСМ,запчасти(62881,5+38479)/44178,7*2613=5995,08руб         Аренда а/м: 7080х12мес=84960/44178,7*2613=5025,06руб</t>
  </si>
  <si>
    <t>Содержание мусоровозной машины:                                                                           ФЗПл водителя:74865/44178,7*1698,1= 2877,59руб                                                Материалы: ГСМ,запчасти: (62881,5+38479)/44178,7*1698,1=3896руб            Аренда а/м:7080х12мес=84960/44178,7*1698,1=3265,61руб</t>
  </si>
  <si>
    <t>Аренда помещения 24828,89/44178,7*1698,1</t>
  </si>
  <si>
    <r>
      <t>Аренда п</t>
    </r>
    <r>
      <rPr>
        <sz val="9"/>
        <color theme="1"/>
        <rFont val="Calibri"/>
        <family val="2"/>
        <charset val="204"/>
        <scheme val="minor"/>
      </rPr>
      <t>омещения 24828,89/44178,7*672,2</t>
    </r>
  </si>
  <si>
    <t>Содержание мусоровозной машины:                                                                           ФЗПл водителя:74865/44178,7*672,2= 1139,11руб                                                Материалы: ГСМ,запчасти: (62881,5+38479)/44178,7*672,2=1542,25руб            Аренда а/м:7080х12мес=84960/44178,7*672,2= 1292,71руб</t>
  </si>
  <si>
    <t>Содержание мусоровозной машины:                                                                           ФЗПл водителя:74865/44178,7*453= 767,65руб                                                Материалы: ГСМ,запчасти: (62881,5+38479)/44178,7*453=1039,33руб            Аренда а/м:7080х12мес=84960/44178,7*453= 871,16руб</t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</si>
  <si>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помещения 24828,89/44178,7х453</t>
    </r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</si>
  <si>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помещения 24828,89/44178,7 х 412,5</t>
    </r>
  </si>
  <si>
    <t>Содержание мусоровозной машины:                                                                           ФЗПл водителя:74865/44178,7*412,5= 699,02руб                                                Материалы: ГСМ,запчасти: (62881,5+38479)/44178,7*412,5=946,41руб            Аренда а/м:7080х12мес=84960/44178,7*412,5= 793,98руб</t>
  </si>
  <si>
    <t>Содержание мусоровозной машины:                                                                        ФЗПл водителя: 74865/44178,7*4084,5= 6921,57руб                                                 Материалы: ГСМ,запчасти(62881,5+38479)/44178,7*4084,5=9371,19руб         Аренда а/м: 7080х12мес=84960/44178,7*4084,5=7854,90руб</t>
  </si>
  <si>
    <r>
      <t xml:space="preserve">Аренда помещения </t>
    </r>
    <r>
      <rPr>
        <sz val="9"/>
        <color theme="1"/>
        <rFont val="Calibri"/>
        <family val="2"/>
        <charset val="204"/>
        <scheme val="minor"/>
      </rPr>
      <t>24828,89/44178,7х4084,5</t>
    </r>
  </si>
  <si>
    <t>Содержание мусоровозной машины:                                                                           ФЗПл водителя:74865/44178,7*1948,8= 3302,43руб                                                Материалы: ГСМ,запчасти: (62881,5+38479)/44178,7*1948,8=4471,19руб            Аренда а/м:7080х12мес=84960/44178,7*1948,8=3747,73руб</t>
  </si>
  <si>
    <r>
      <t xml:space="preserve">Аренда помещен. </t>
    </r>
    <r>
      <rPr>
        <sz val="9"/>
        <color theme="1"/>
        <rFont val="Calibri"/>
        <family val="2"/>
        <charset val="204"/>
        <scheme val="minor"/>
      </rPr>
      <t>Ленина4: 24828,89/44178,7х1948,8</t>
    </r>
  </si>
  <si>
    <t>Содержание мусоровозной машины:                                                                           ФЗПл водителя:74865/44178,7*895,9= 1518,19руб                                                Материалы: ГСМ,запчасти: (62881,5+38479)/44178,7*895,9=2035,21руб            Аренда а/м:7080х12мес=84960/44178,7*895,9=1722,9руб</t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</si>
  <si>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помещения 24828,89/44178,7*895,9</t>
    </r>
  </si>
  <si>
    <t>Аренда помещения: 24828,89/44178,7*600,6</t>
  </si>
  <si>
    <t>Задолженность за т/эн(разн.начисл. и опл. за т/эн)(161234,55-65016,89)</t>
  </si>
  <si>
    <t>Содержание мусоровозной машины:                                                                           ФЗПл водителя:74865/44178,7*600,6= 1017,77руб                                                Материалы: ГСМ,запчасти: (62881,5+38479)/44178,7*600,6=1377,97руб            Аренда а/м:7080х12мес=84960/44178,7*600,6=1155,01руб</t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</si>
  <si>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помещения   24828,89/44178,7*357,1</t>
    </r>
  </si>
  <si>
    <t>Содержание мусоровозной машины:                                                                           ФЗПл водителя:74865/44178,7*357,1= 605,14руб                                                Материалы: ГСМ,запчасти: (62881,5+38479)/44178,7*357,1=819,31руб            Аренда а/м:7080х12мес=84960/44178,7*357,1=686,74руб</t>
  </si>
  <si>
    <t>Аренда помещения: 24828,89/44178,7*147,8</t>
  </si>
  <si>
    <t>Содержание мусоровозной машины:                                                                           ФЗПл водителя:74865/44178,7*147,8= 250,46руб                                                Материалы: ГСМ,запчасти: (62881,5+38479)/44178,7*147,8= 339,10руб            Аренда а/м:7080х12мес=84960/44178,7*147,8= 284,23руб</t>
  </si>
  <si>
    <t>Аренда помещения  24828,89/44178,7*361,4</t>
  </si>
  <si>
    <t>Содержание мусоровозной машины:                                                                           ФЗПл водителя:74865/44178,7*361,4= 612,43руб                                                Материалы: ГСМ,запчасти: (62881,5+38479)/44178,7*361,4= 829,17руб            Аренда а/м:7080х12мес=84960/44178,7*361,4=695,01руб</t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</si>
  <si>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помещения 24828,89/44178,7*443,1</t>
    </r>
  </si>
  <si>
    <t>Содержание мусоровозной машины:                                                                           ФЗПл водителя:74865/44178,7*443,1= 750,87руб                                                Материалы:ГСМ,запчасти: (62881,5+38479)/44178,7*443,1=1016,62руб            Аренда а/м:7080х12мес=84960/44178,7*443,1=852,13руб</t>
  </si>
  <si>
    <t>Аренда помещения 24828,89/44178,7*441,2</t>
  </si>
  <si>
    <t>Содержание мусоровозной машины:                                                                           ФЗПл водителя:74865/44178,7*441,2= 747,65руб                                                Материалы:ГСМ,запчасти: (62881,5+38479)/44178,7*441,2=1012,26руб            Аренда а/м:7080х12мес=84960/44178,7*441,2=848,47руб</t>
  </si>
  <si>
    <t>Аренда помещения 24828,89/44178,7*455,3</t>
  </si>
  <si>
    <t>Содержание мусоровозной машины:                                                                           ФЗПл водителя:74865/44178,7*455,3= 771,55руб                                                Материалы:ГСМ,запчасти: (62881,5+38479)/44178,7*455,3=1044,61руб            Аренда а/м:7080х12мес=84960/44178,7*455,3=875,59руб</t>
  </si>
  <si>
    <r>
      <t xml:space="preserve">Аренда </t>
    </r>
    <r>
      <rPr>
        <sz val="9"/>
        <color theme="1"/>
        <rFont val="Calibri"/>
        <family val="2"/>
        <charset val="204"/>
        <scheme val="minor"/>
      </rPr>
      <t>помещ. 24828,89/44178,7*255,3</t>
    </r>
  </si>
  <si>
    <t>Содержание мусоровозной машины:                                                                           ФЗПл водителя:74865/44178,7*255,3= 432,63руб                                                Материалы: ГСМ,запчасти: (62881,5+38479)/44178,7*255,3= 585,74руб            Аренда а/м:7080х12мес=84960/44178,7*255,3=490,97руб</t>
  </si>
  <si>
    <t>Аренда помещения: 24828,89/44178,7*3932</t>
  </si>
  <si>
    <r>
      <rPr>
        <sz val="9"/>
        <color theme="1"/>
        <rFont val="Calibri"/>
        <family val="2"/>
        <charset val="204"/>
        <scheme val="minor"/>
      </rPr>
      <t xml:space="preserve">Тех. обслуживание (устр. мелких неисправностей в инженер. систем.)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15час х 42,42 х 1,15 х 2чел = 1463,49руб                                                      слесарь к ОЗП: 2ч х 42,42 х 1,15 х 2ч = 195,13                                                                                                        Электрик 12час х 36,36 х 1,15 х 1чел = 501,77руб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                             б)Отчисл. от ФЗПл:       30,2%  = 778,72руб                                                                     обслуж. теп.узла:59892/39075,8*3932 = 6026,63руб                                                                                           вент каналы к ОЗП: 90кв х 60руб= 5400руб                                              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25вт: 10штх 10р = 100руб                                                                                                                                                                датчик: 7шт х 5,0р = 35руб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</si>
  <si>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МКД(583558,07-384511,44)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</si>
  <si>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23час х 42,42 х 1,15 х 2чел = 2244,02руб                                                 слесарь к ОЗП: 2час х 42,42 х1,15 х 2ч = 195,13руб                                                                                                        Электрик 22час х 36,36 х 1,15 х 1чел = 919,91руб                                                                                            Рабочий: 10час х 33,33 х 1,15 х 1чел = 383,3руб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10час х 60,6 х 1,15 = 696,9руб                                                                                                                        б)Отчисл. от ФЗПл:  30,2%  = 1340,66руб                                                                    обсл. теп. узла 11мес: 65881,2/39075,8*4244,4= 7155,99руб                                                        вент. каналы к ОЗП: 88кв х 60руб = 5280руб                            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авт/выкл: 2шт х 63,41р = 63,41руб                                                                           э/лампа 25Вт: 18шт х 10р = 180руб                                                                         фотосенсор:7шт х 120р = 840руб                                                                              провод АВВГ: 0,2м 10,1 = 2,02руб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</si>
  <si>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25час х 42,42 х 1,15 х 2чел = 2439,15руб                                               слесарь к ОЗП:2 х42,42 х1,15 х 2чел = 195,13руб                                                                                                        Электрик 23час х 36,36 х 1,15 х 1чел = 961,72руб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363,60руб                                                                                                                                                   б)Отчисл. от ФЗПл:       30,2%  = 1195,80руб                                                          обсл.тепл.узла:10мес 59892/39075,8*3232,5=4954,50руб                             пров.вент каналов к ОЗП: 66кв х 60р = 3960руб 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25вт: 16штх 10р = 160руб                                                                                                                                                                датчик: 4шт х 5,0р = 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</si>
  <si>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МКД(440805,29-317387,93)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</si>
  <si>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18час х 42,42 х 1,15 х 2чел = 1756,19руб.                                                   слесарь к ОЗП:2ч х42,42 х1,15 х2чел = 195,13руб                                                                                                       Электрик 10час х 36,36 х 1,15 х 1чел = 418,14руб.                                                                                                                                                                                                      Рабочий 3,5час х 33,33 х1,15 х 1чел = 134,15руб.                                                                                                                  Мастер(обслед. пров. раб.) 6час х 60,6 х 1,15 = 418,14                                                                                                                        б)Отчисл. от ФЗПл 30,2% 882,37руб                                                                                  обсл. теп.узла:10мес 59892/39075,8*3031,5 = 4646,42руб                                                                     пров. вент канал. к ОЗП: 66кв х 60руб = 3960руб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 14шт х 9р = 126руб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</si>
  <si>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Тех. обслуживание (устр. мелких неисправностей в инженер. систем.)                                                                              а)ФЗПЛ: слесарь: 7час х 42,42 х 1,15 х 2чел = 682,96руб                                   слесарь к ОЗП: 2ч х42,42 х1,15 х2чел = 195,13руб                                                                                                                                           Электрик 3час х 36,36 х 1,15 х 1чел      = 125,44руб                                                                                                                                                                                                                                                                                                                                                                б)Отчисл. от ФЗПл 30,2% 303,06руб                                                                             обсл.тепл.узла:11мес 65881,2/39075,8*599,2= 1010,24руб                                обсл.вент. канал. к ОЗП: 16кв х 60руб = 960руб                                                                                                                                             в)материалы: датчик 1шт х 93,2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</t>
    </r>
  </si>
  <si>
    <t>Остаток ден. средств на содерж. и ремонт жилья (83234,9-93813,14)</t>
  </si>
  <si>
    <t>Остаток денеж. средств на содерж. и ремонт МКД(328803,97-273710,03)</t>
  </si>
  <si>
    <r>
      <t>Тех. обслуживание                                                                                                  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14час х 42,42 х 1,15 х 2чел = 1365,92руб                                             слесарь к ОЗП: 2час х42,42 х1,15 х2чел = 195,13руб                                                                                                        Электрик 11час х 36,36 х 1,15 х 1чел = 459,95руб.                                                                                                                                                                                                      Рабочий 3час х 33,33 х1,15 х 1чел = 114,99руб.                                                                                                                  Мастер(обслед. пров. раб.) 6час х 60,6 х 1,15 = 418,14                                                                                                                                                       б)Отчисл. от ФЗПл 30,2%: 771,35руб                                                                         обсл.теп.узла: 11мес 65881,2/39075,8*2709,2=4567,67руб                                                пров вент канал. к ОЗП: 56кв х 60руб = 3360руб                                                                                                                                   в)материалы:</t>
    </r>
    <r>
      <rPr>
        <sz val="10"/>
        <color theme="1"/>
        <rFont val="Calibri"/>
        <family val="2"/>
        <charset val="204"/>
      </rPr>
      <t xml:space="preserve"> эл.лампа 25вт: 7шт х 9р = 63руб                                                  автомат 16А: 1шт х 39руб = 39руб                                                                                                              датчик: 1шт х                                                                                                                          муфтаØ 110: 1шт х 52руб = 52руб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</si>
  <si>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9час х 42,42 х 1,15 х 2чел = 878,09руб.                                                    слесарь к ОЗП: 2час х 42,42 х1,15 х2чел = 195,13руб                                                                                                        Электрик 7час х 36,36 х 1,15 х 1чел = 292,70руб.                                                                                                                                                                                                      Рабочий 4час х 33,33 х1,15 х 1чел = 153,32руб.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б)Отчисл. от ФЗПл 30,2% 585,09руб                                                                                обсл.теп.узла: 10мес  59892/39075,8*3310,9= 5074,66руб                                  пров.вент.канал к ОЗП: 68кв х 60руб = 4080руб                                                                                                                                             в)материалы: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э/лампа 25Вт 15шт х 9р = 135руб                                                                                                                                                                                                                                                                                                                                фотосенсор: 4шт х 120р = 120руб                                                                                     хомут: 1шт х 20руб = 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</si>
  <si>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МКД(400827,51-266263,71)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</si>
  <si>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20час х 42,42 х 1,15 х 2чел = 1951,32руб.                                                 слесарь к ОЗП: 2час х 42,42 х1,15 х2чел = 195,13руб                                                                                                      Электрик 15час х 36,36 х 1,15 х 1чел = 627,21руб.                                             Рабочий: 5час х 33,33 х1,15 х 1ч = 191,65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                        б)Отчисл. от ФЗПл:   1021,80руб                                                                                    обсл. теп.узла: 10мес 59892/39075,8*3286,6= 5037,42руб                               пров.вент.канал. в к ОЗП: 70кв х 60руб = 4200руб                                                                                                                                           в)материалы: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 22штх 10р = 220руб                                                                                                                                                         э/провод  2м х 7р = 14руб                                                                            предохранитель 1шт х 16,5р = 16,5руб                                                                                                                                авт-выкл:6шт х 39 = 234руб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</si>
  <si>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17час х 42,42 х 1,15 х 2чел = 1658,62руб.                                                 слесарь к ОЗП: 2час х 42,42 х 1,15 х 2ч = 195,13руб                                                                                                       Электрик 8час х 36,36 х 1,15 х 1чел = 334,52руб.                                                                                                                                                                                                      Рабочий 4час х 33,33 х1,15 х 1чел = 153,32руб.                                                                                                                  Мастер(обслед. пров. раб.) 8час х 60,6 х 1,15 = 557,52руб                                                                                                                        б)Отчисл. от ФЗПл: 30,2%  = 875,53руб                                                                                   обсл. теп. узла 11мес: 65881,2/39075,8*3858 = 6504,53руб                              пров.вент канал.к ОЗП:  90кв х 60руб = 5400руб                                                                                                                                              в)материалы: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25Вт:14 х 10р = 140руб                                                                                   провод 1 м х 7р = 7руб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</si>
  <si>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Остаток денеж. средств на содерж. и ремонт МКД(518455,57-609323,70)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</si>
  <si>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2час х 42,42 х 1,15 х 2чел = 195,13руб                                                          слесарь к ОЗП: 2час 42,42 х 1,15 х 2чел = 195,13руб                                                                                                    Электрик 2час х 36,36 х 1,15 х 1чел = 83,63руб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3час х 60,6 х 1,15 = 209,07руб                                   обсл. теп. узла:10мес 59892/39075,8*672,2 = 1030,29руб                                    пров.вент.канал. к ОЗП: 12кв х 60руб = 720руб                                                                                                                                                      б)Отчисл. от ФЗПл:    30,2%  = 206,25руб  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э/лампа: 4штх 9р = 36руб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</si>
  <si>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МКД(77347,92-59151,41)</t>
  </si>
  <si>
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10час х 42,42 х 1,15 х 2чел = 975,66руб.                                                    слесарь к ОЗП: 2час х 42,42 х 1,15 х 2,чел = 195,13руб                                                                                                      Электрик 16час х 36,36 х 1,15 х 1чел = 669,02руб.                                              роабочий 3,5час х 33,33 х 1,15 х 1чел = 134,15руб.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  б)Отчисл. от ФЗПл:  30,2%  = 722,41руб                                                                       обсл. тепл.узла: 10мес59892/39075,8*2613 = 4004,98руб                                       пров.вент.канал. к ОЗП: 60кв х 60руб = 3600руб                                                                                                                                         в)материалы: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 24штх 10р = 240руб                                                                                                                                                                                                                                фотосенсор.  1шт х 120р = 120руб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</si>
  <si>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Остаток денеж. средств на содерж. и ремонт МКД(208351,05-148004,55)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</si>
  <si>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8час х 42,42 х 1,15 х 2чел = 780,53руб                                                             слесарь к ОЗП: 2час х 42,42 х 1,15 х2чел = 195,13руб                                                                                                      Электрик 7час х 36,36 х 1,15 х 1чел = 292,70руб                                                                                              Рабочий: 3час х 33,33 х 1,15  х 1чел = 114,99руб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  б)Отчисл. от ФЗПл:  30,2%  = 544,05руб                                                                               обсл.теп.узла: 10мес: 59892/39075,8*1698,1 = 2602,70руб                                         пров. вент.канл.к ОЗП: 40кв х 60руб = 2400руб                                                                           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 25Вт: 4штх 10р = 40руб                                                                                предохранитель 1шт х 16,50р = 16,50руб                                                                                                                                     Провод АВВГ: 1,5м х 10,1р = 10,1руб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</si>
  <si>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электрик: 2час х 36,36 х 1,15 х 2чел = 167,26руб                                                    рабочий: 1,5час х 33,33 х 1,15 х 1,чел = 54,49руб                                                 слесарь к ОЗП: 2час х 42,42 х1,15 х2чел = 195,13руб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3час х 60,6 х 1,15 = 209,07руб                                                                                                                        б)Отчисл. от ФЗПл:    30,2%  = 189,04руб                                                                  ров. вень канал. к ОЗП: 11кв х 60руб 660руб                                                                                                                                                                                                             в)материалы:                                                                                                               Э/лампа 25 Вт 3шт х 10 = 30 руб                                                                            Провод АВВГ: 0,5м х 10,1 = 5,05руб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</si>
  <si>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МКД(63834,12-31393,73)</t>
  </si>
  <si>
    <t>Остаток денеж. средств на содерж. и ремонт МКД(54590,87-34148,91)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</si>
  <si>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3час х 42,42 х 1,15 х 2чел = 292,70руб                                                      слесарь к ОЗП: 2час 42,42 х1,15 х2чел = 195,13руб                                                                                                              электрик: 2час х 36,36 х 1,15 х 1ч = 83,63 руб                                                            рабочий: 1час х 33,33 х 1,15 х 1ч = 38,33 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4час х 60,6 х 1,15 = 278,76руб                                                                                                                        б)Отчисл. от ФЗПл: 30,2%  268,34руб                                                                        пров.вент канал. к ОЗП: 12кв х 60руб = 720руб                                                                                                                                          в)материалы:                                                                                                               э/лампа 25Вт: 7шт х 10р = 70руб                                                                                                                                                      кран букса 1шт х 60р = 60руб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</si>
  <si>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Тех. обслуживание (устр. мелких неисправностей в инженер. систем.)                                                                               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6час х 42,42 х 1,15 х 2чел = 585,40руб.                                                        слесарь к ОЗП: 2час х 42,42 х 1,15 х2чел = 195,13руб                                                                                                      Электрик 15час х 36,36 х 1,15 х 1чел = 627,21руб.                                              Рабочий 9час х 33,33 х 1,15 = 344,96руб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8час х 60,6 х 1,15 = 278,76руб                                                                                                                        б)Отчисл. от ФЗПл 30,2% = 613,50руб                                                                          обсл.теп.узла: 59892/39075,8*4084,5 =6260,37руб                                                             пров.вент.канал к ОЗП: 80кв х 60руб =4800руб                                                                                                                                    в)материалы: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э/лампа 25Вт 10шт х 10р = 100руб                                                                            фотосенсор: 2шт х 120 = 240руб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</si>
  <si>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МКД(579668,49-422118,73)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</si>
  <si>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4час х 42,42 х 1,15 х 2чел = 390,26руб                                                          слесарь к ОЗП: 2час х42,42 х1,15 х2чел = 195,13руб                                                                                                                                                                 электрик: 2час х 36,36 х 1,15 х 1чел = 83,63руб                                                      плотник: 1час х 36,36 х 1,15 х 1чел = 41,81руб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6час х 60,6 х 1,15 = 418,14руб                                                                                                                        б)Отчисл. от ФЗПл:   30,2%  340,95руб                                                                      обсл.теп.узла: 59892/39075,8*1948,8 = 2986,95руб                                                          пров.вент.канал. к ОЗП: 40кв х 60руб = 2400руб                                                                                                                                            в)материалы: э/лампы 2шт х 10р = 20руб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</si>
  <si>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МКД(284870,51-229736,36)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</si>
  <si>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 1час х 42,42 х 1,15 х 2чел = 97,57руб                                                      слесарь к ОЗП: 1час х 42,42 х 1,15 х 2чел = 97,57руб                                                                                                                                                                                                    Рабочий: 2час х 33,33 х 1,15 х 1чел = 76,66руб                                                     Электрик: 0,5час х 36,36 х 1,15 = 20,91руб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2час х 60,6 х 1,15 = 139,38руб                                                                                                                                                    б)Отчисл. от ФЗПл:       30,2%  = 130,49руб                                                                 пров.вент канал к ОЗП: 22кв х 60руб = 1320руб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</si>
  <si>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МКД(102233,36-79604,39)</t>
  </si>
  <si>
    <t>Остаток денеж. средств на содерж. и ремонт МКД(52092,28-102392,43)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</si>
  <si>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слесарь:1,75час х 42,42 х 1,15 х 2чел = 170,74руб                                                   слесарь 1,5час х42,42 х 1,15 х 2чел = 146,35руб                                                                                                       Электрик 0,5час х 36,36 х 1,15 х 1чел = 18,18руб                                                                                                                                                                                                                                                                                                                                                           Мастер(обслед. пров. раб.) 1час х 60,6 х 1,15 = 69,69руб                                                                                                                        б)Отчисл. от ФЗПл:   30,2%  = 122,30руб                                                                      пров.вент канал. к ОЗП: 8кв х 60руб = 480руб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э/лампа: 1штх 9,30р = 9,30руб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</si>
  <si>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МКД(40988 - 46175,94)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</si>
  <si>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слесарь:1час х 42,42 х 1,15 х 2чел = 97,57руб                                                           слеарь к ОЗП 1час х 42,42 х 1,15 х2чел = 97,57руб                                                                                                                                                                                                                                                                                                                                                                                                                                                                                                                                                                                         б)Отчисл. от ФЗПл:       30,2%  = 58,93руб                                                                     пров.вент канал к ОЗП: 4кв х 60руб = 240руб                                                                                                                                            в)материалы: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</si>
  <si>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МКД(10301,75-22464,50)</t>
  </si>
  <si>
    <r>
      <t xml:space="preserve">Тех. обслуживание (устр. мелких неисправностей в инженер. систем.)                                                                              а)ФЗПЛ:                                                                                                                                                                                                  слесарь:1час х 42,42 х 1,15 х 2чел = 97,57руб                                                          слесарь к ОЗП 1час х 42,42 х 1,15 х 2чел = 97,57руб                                                    Электрик: 2час х 36,36 х 1,15 х 1чел = 83,63руб                                                     Рабочий: 1час х 33,33 х 1,15 х 1чел = 38,33руб                                                                                                                                                                                                                                                                                                                                                                                                                                                                                                                                                                                         б)Отчисл. от ФЗПл:       30,2%  = 95,96руб                                                                   пров. вент канал. к ОЗП: 8кв х 60руб = 540руб                                                                                                                                             в)материалы: э/лампа 25Вт: 2шт х 9руб = 18руб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</si>
  <si>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МКД(38221,5 - 38007,01)</t>
  </si>
  <si>
    <r>
      <t xml:space="preserve">Тех. обслуживание (устр. мелких неисправностей в инженер. систем.)        рабочий: 2час х 33,33 х1,15 х1ч = 76,66руб                                                               слесарь к ОЗП 1час х 42,42 х1,15 х2чел = 97,57руб                                                                                                               Мастер </t>
    </r>
    <r>
      <rPr>
        <sz val="9"/>
        <color theme="1"/>
        <rFont val="Calibri"/>
        <family val="2"/>
        <charset val="204"/>
        <scheme val="minor"/>
      </rPr>
      <t>(обследов) (2час х 60,6 х1,15 = 139,38)                                                                      Отчисления 30,2% 94,71руб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пров.вент.канал. к ОЗП: 12кв х 60руб =720руб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</si>
  <si>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МКД(39912,71-61825,82)</t>
  </si>
  <si>
    <r>
      <t xml:space="preserve">Тех. обслуживание (устр. мелких неисправностей в инженер. систем.)       слесарь: 2час х 42,42 х 1,15 х 2чел = 195,13руб                                                     слесарь к ОЗП: 1час х 42,42 х1,15 х 2чел = 97,57руб                                                                                                                  электрик: 2,5час х 36,36 х 1,15 1чел = 104,54руб                                               мастер: 3час х 60,6 х 1,15 = 209,07руб                                                                 Отчисления:   30,2%    183,11руб                                                                                  пров. вент канал к ОЗП: 12кв х 60руб = 720руб                                                                                              материалы:                                                                                                                  э/лампы: 25Вт: 1шт х 9,5руб = 9,50руб                                                                 э/патрон: 1шт х 12руб = 12руб                                                                                выключатель: 1шт х 38руб = 38руб                                                                        э/провод: 0,5м х 10,1руб = 5,05руб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</si>
  <si>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МКД(45348,75-42917,08)</t>
  </si>
  <si>
    <r>
      <t xml:space="preserve">Тех. обслуживание (устр. мелких неисправностей в инженер. систем.)      ФЗПл: слесарь: 4,5час х 42,42 х1,15 х 2чел = 439,05руб                                    слесарь к ОЗП: 1час х 42,42 х 1,15 х 2чел= 97,57руб                                                                                                                                                 электрик: 1,5час х 36,36 х 1,15 х 1чел = 62,72руб                                                  мастер 4час х 60,6 х1,15 = 278,76руб                                                                   Отчисления 30,2% 265,19руб                                                                                    пров.вент.канал.к ОЗП: 12кв х 60руб = 720руб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</si>
  <si>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МКД(44011,65-69996,17)</t>
  </si>
  <si>
    <r>
      <t xml:space="preserve">Тех. обслуживание (устр. мелких неисправностей в инженер. систем.)       слесарь: 1,5час х 42,42 х 1,15 х 2чел = 146,35руб                                              слесарь к ОЗП: 1час х 42,42 х 1,15 х 2чел = 97,57руб                                                                                                                                                               электрик:1час х 36,36 х 1,15 х 1чел = 41,81руб                                                  Мастер </t>
    </r>
    <r>
      <rPr>
        <sz val="9"/>
        <color theme="1"/>
        <rFont val="Calibri"/>
        <family val="2"/>
        <charset val="204"/>
        <scheme val="minor"/>
      </rPr>
      <t>(обследов) (2час х 60,6 х1,15 = 139,38руб                                                                    Отчисления 30,2% 128,38руб                                                                                         пров.вент.канал. к ОЗП: 8кв х 60руб = 480руб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</si>
  <si>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Остаток денеж. средств на содерж. и ремонт МКД(25707,07-21690,13)</t>
  </si>
  <si>
    <t>Остаток денеж. средств на содерж. и ремонт МКД(406659,26-327827,95)</t>
  </si>
  <si>
    <r>
      <t>Уборка придомовой территории, содерж диспет. службы,контролера:                                                                         ФЗПл дворн.190895,4:16022,8 х</t>
    </r>
    <r>
      <rPr>
        <sz val="10"/>
        <color theme="1"/>
        <rFont val="Calibri"/>
        <family val="2"/>
        <charset val="204"/>
      </rPr>
      <t xml:space="preserve"> 373                                                                                                                                       ФЗПл</t>
    </r>
    <r>
      <rPr>
        <sz val="10"/>
        <color theme="1"/>
        <rFont val="Calibri"/>
        <family val="2"/>
        <charset val="204"/>
        <scheme val="minor"/>
      </rPr>
      <t xml:space="preserve"> дисп.и контр.111600:44178,7</t>
    </r>
    <r>
      <rPr>
        <sz val="10"/>
        <color theme="1"/>
        <rFont val="Calibri"/>
        <family val="2"/>
        <charset val="204"/>
      </rPr>
      <t xml:space="preserve"> х 599,2 = 1513,64руб                                                                                                              Отчисл. от ФЗПл- 34%  457,12руб</t>
    </r>
  </si>
  <si>
    <t>Остаток денеж. средств на содерж. и ремонт МКД(464093-287068,36)</t>
  </si>
  <si>
    <t>Остаток денеж. средств на содерж. и ремонт МКД(368681,76-249647,18)</t>
  </si>
  <si>
    <t>Остаток денеж. средств на содерж. и ремонт МКД(543276,77-526748,15)</t>
  </si>
  <si>
    <t>Текущий ремонт жилфонда согласно смет:                                                                                                                   № 34 сентябрь 2012 -  Частичная замена лежака отопления                                                  № 52 октябрь 2012г - Разборка и устройство деревянных полов                                                   № 37 май 2013г - Изоляция наружной эл/проводки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</si>
</sst>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theme="1"/>
      <name val="Cambria"/>
      <family val="1"/>
      <charset val="204"/>
      <scheme val="maj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16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164" fontId="5" fillId="0" borderId="1" xfId="0" applyNumberFormat="1" applyFont="1" applyBorder="1"/>
    <xf numFmtId="49" fontId="5" fillId="0" borderId="1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2" fontId="15" fillId="0" borderId="1" xfId="0" applyNumberFormat="1" applyFont="1" applyBorder="1"/>
    <xf numFmtId="0" fontId="14" fillId="0" borderId="1" xfId="0" applyFont="1" applyBorder="1"/>
    <xf numFmtId="2" fontId="14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16" fontId="14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wrapText="1"/>
    </xf>
    <xf numFmtId="1" fontId="5" fillId="0" borderId="1" xfId="0" applyNumberFormat="1" applyFont="1" applyBorder="1"/>
    <xf numFmtId="0" fontId="18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C18" sqref="C18:C20"/>
    </sheetView>
  </sheetViews>
  <sheetFormatPr defaultRowHeight="15" x14ac:dyDescent="0.25"/>
  <cols>
    <col min="1" max="1" width="7.7109375" customWidth="1"/>
    <col min="2" max="2" width="63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25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0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29</v>
      </c>
      <c r="C7" s="7">
        <v>578886.05000000005</v>
      </c>
    </row>
    <row r="8" spans="1:3" x14ac:dyDescent="0.25">
      <c r="A8" s="5" t="s">
        <v>5</v>
      </c>
      <c r="B8" s="6" t="s">
        <v>6</v>
      </c>
      <c r="C8" s="6">
        <f>589796.1-46519.33</f>
        <v>543276.77</v>
      </c>
    </row>
    <row r="9" spans="1:3" x14ac:dyDescent="0.25">
      <c r="A9" s="8"/>
      <c r="B9" s="8" t="s">
        <v>7</v>
      </c>
      <c r="C9" s="9">
        <f>C8/C7*100</f>
        <v>93.848654670465805</v>
      </c>
    </row>
    <row r="10" spans="1:3" x14ac:dyDescent="0.25">
      <c r="A10" s="5" t="s">
        <v>8</v>
      </c>
      <c r="B10" s="10" t="s">
        <v>9</v>
      </c>
      <c r="C10" s="8"/>
    </row>
    <row r="11" spans="1:3" ht="55.5" customHeight="1" x14ac:dyDescent="0.25">
      <c r="A11" s="17" t="s">
        <v>35</v>
      </c>
      <c r="B11" s="12" t="s">
        <v>38</v>
      </c>
      <c r="C11" s="13">
        <f>1220.52+9932.6+3368.24</f>
        <v>14521.36</v>
      </c>
    </row>
    <row r="12" spans="1:3" ht="162.75" customHeight="1" x14ac:dyDescent="0.25">
      <c r="A12" s="17"/>
      <c r="B12" s="12" t="s">
        <v>289</v>
      </c>
      <c r="C12" s="13">
        <f>1463.49+195.13+501.77+418.14+778.72+6026.63+5400+135</f>
        <v>14918.880000000001</v>
      </c>
    </row>
    <row r="13" spans="1:3" ht="28.5" customHeight="1" x14ac:dyDescent="0.25">
      <c r="A13" s="5" t="s">
        <v>11</v>
      </c>
      <c r="B13" s="12" t="s">
        <v>26</v>
      </c>
      <c r="C13" s="9">
        <f>1318.95+127</f>
        <v>1445.95</v>
      </c>
    </row>
    <row r="14" spans="1:3" x14ac:dyDescent="0.25">
      <c r="A14" s="5" t="s">
        <v>12</v>
      </c>
      <c r="B14" s="8" t="s">
        <v>27</v>
      </c>
      <c r="C14" s="9">
        <f>364427.89/44178.7*3932+40000</f>
        <v>72434.871634520707</v>
      </c>
    </row>
    <row r="15" spans="1:3" ht="62.25" customHeight="1" x14ac:dyDescent="0.25">
      <c r="A15" s="11" t="s">
        <v>13</v>
      </c>
      <c r="B15" s="12" t="s">
        <v>237</v>
      </c>
      <c r="C15" s="8">
        <f>6663.15+9021.3+7561.61</f>
        <v>23246.059999999998</v>
      </c>
    </row>
    <row r="16" spans="1:3" x14ac:dyDescent="0.25">
      <c r="A16" s="5" t="s">
        <v>14</v>
      </c>
      <c r="B16" s="8" t="s">
        <v>24</v>
      </c>
      <c r="C16" s="8">
        <v>236658</v>
      </c>
    </row>
    <row r="17" spans="1:3" x14ac:dyDescent="0.25">
      <c r="A17" s="5" t="s">
        <v>15</v>
      </c>
      <c r="B17" s="12" t="s">
        <v>28</v>
      </c>
      <c r="C17" s="9">
        <f>291338/44178.7*3932</f>
        <v>25929.713097035452</v>
      </c>
    </row>
    <row r="18" spans="1:3" ht="26.25" x14ac:dyDescent="0.25">
      <c r="A18" s="5" t="s">
        <v>23</v>
      </c>
      <c r="B18" s="12" t="s">
        <v>36</v>
      </c>
      <c r="C18" s="9">
        <f>1420628.77/44178.7*3932</f>
        <v>126439.03789925914</v>
      </c>
    </row>
    <row r="19" spans="1:3" x14ac:dyDescent="0.25">
      <c r="A19" s="5" t="s">
        <v>16</v>
      </c>
      <c r="B19" s="12" t="s">
        <v>288</v>
      </c>
      <c r="C19" s="9">
        <f>24828.89/44178.7*3932</f>
        <v>2209.824994397753</v>
      </c>
    </row>
    <row r="20" spans="1:3" x14ac:dyDescent="0.25">
      <c r="A20" s="5" t="s">
        <v>17</v>
      </c>
      <c r="B20" s="8" t="s">
        <v>34</v>
      </c>
      <c r="C20" s="9">
        <f>100497/44178.7*3932</f>
        <v>8944.4506968290152</v>
      </c>
    </row>
    <row r="21" spans="1:3" x14ac:dyDescent="0.25">
      <c r="A21" s="8"/>
      <c r="B21" s="6" t="s">
        <v>19</v>
      </c>
      <c r="C21" s="7">
        <f>SUM(C11:C20)</f>
        <v>526748.14832204208</v>
      </c>
    </row>
    <row r="22" spans="1:3" x14ac:dyDescent="0.25">
      <c r="A22" s="8"/>
      <c r="B22" s="8" t="s">
        <v>338</v>
      </c>
      <c r="C22" s="7">
        <f>C8-C21</f>
        <v>16528.621677957941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D29" sqref="D29"/>
    </sheetView>
  </sheetViews>
  <sheetFormatPr defaultRowHeight="15" x14ac:dyDescent="0.25"/>
  <cols>
    <col min="1" max="1" width="6.85546875" customWidth="1"/>
    <col min="2" max="2" width="61.28515625" customWidth="1"/>
    <col min="3" max="3" width="16.140625" customWidth="1"/>
  </cols>
  <sheetData>
    <row r="1" spans="1:3" x14ac:dyDescent="0.25">
      <c r="A1" s="19" t="s">
        <v>20</v>
      </c>
    </row>
    <row r="2" spans="1:3" x14ac:dyDescent="0.25">
      <c r="A2" s="19" t="s">
        <v>106</v>
      </c>
      <c r="B2" s="19"/>
      <c r="C2" s="19"/>
    </row>
    <row r="3" spans="1:3" x14ac:dyDescent="0.25">
      <c r="A3" s="19"/>
      <c r="B3" s="19"/>
      <c r="C3" s="19"/>
    </row>
    <row r="4" spans="1:3" x14ac:dyDescent="0.25">
      <c r="A4" s="20" t="s">
        <v>120</v>
      </c>
      <c r="B4" s="20"/>
      <c r="C4" s="20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21">
        <v>1</v>
      </c>
      <c r="B6" s="21">
        <v>2</v>
      </c>
      <c r="C6" s="21">
        <v>3</v>
      </c>
    </row>
    <row r="7" spans="1:3" x14ac:dyDescent="0.25">
      <c r="A7" s="21" t="s">
        <v>4</v>
      </c>
      <c r="B7" s="22" t="s">
        <v>81</v>
      </c>
      <c r="C7" s="23">
        <v>388048.05</v>
      </c>
    </row>
    <row r="8" spans="1:3" x14ac:dyDescent="0.25">
      <c r="A8" s="21" t="s">
        <v>5</v>
      </c>
      <c r="B8" s="22" t="s">
        <v>6</v>
      </c>
      <c r="C8" s="22">
        <f>397907.12-29225.36</f>
        <v>368681.76</v>
      </c>
    </row>
    <row r="9" spans="1:3" x14ac:dyDescent="0.25">
      <c r="A9" s="24"/>
      <c r="B9" s="24" t="s">
        <v>7</v>
      </c>
      <c r="C9" s="25">
        <f>C8/C7*100</f>
        <v>95.00930619287999</v>
      </c>
    </row>
    <row r="10" spans="1:3" x14ac:dyDescent="0.25">
      <c r="A10" s="21" t="s">
        <v>8</v>
      </c>
      <c r="B10" s="26" t="s">
        <v>9</v>
      </c>
      <c r="C10" s="24"/>
    </row>
    <row r="11" spans="1:3" ht="51.75" x14ac:dyDescent="0.25">
      <c r="A11" s="27" t="s">
        <v>10</v>
      </c>
      <c r="B11" s="28" t="s">
        <v>139</v>
      </c>
      <c r="C11" s="29">
        <f>11280.02+6600.71+5399.98</f>
        <v>23280.71</v>
      </c>
    </row>
    <row r="12" spans="1:3" ht="177.75" customHeight="1" x14ac:dyDescent="0.25">
      <c r="A12" s="30" t="s">
        <v>11</v>
      </c>
      <c r="B12" s="28" t="s">
        <v>306</v>
      </c>
      <c r="C12" s="24">
        <f>975.66+195.13+669.02+134.15+418.14+722.41+4004.98+3600+360</f>
        <v>11079.49</v>
      </c>
    </row>
    <row r="13" spans="1:3" ht="26.25" x14ac:dyDescent="0.25">
      <c r="A13" s="21" t="s">
        <v>12</v>
      </c>
      <c r="B13" s="28" t="s">
        <v>140</v>
      </c>
      <c r="C13" s="25">
        <f>34050.83/9007.4*549.5</f>
        <v>2077.2843534205213</v>
      </c>
    </row>
    <row r="14" spans="1:3" x14ac:dyDescent="0.25">
      <c r="A14" s="21" t="s">
        <v>13</v>
      </c>
      <c r="B14" s="24" t="s">
        <v>141</v>
      </c>
      <c r="C14" s="25">
        <f>364427.89/44178.7*2613</f>
        <v>21554.50650585011</v>
      </c>
    </row>
    <row r="15" spans="1:3" ht="51.75" x14ac:dyDescent="0.25">
      <c r="A15" s="27" t="s">
        <v>14</v>
      </c>
      <c r="B15" s="28" t="s">
        <v>256</v>
      </c>
      <c r="C15" s="24">
        <f>4427.98+5995.09+5025.06</f>
        <v>15448.130000000001</v>
      </c>
    </row>
    <row r="16" spans="1:3" x14ac:dyDescent="0.25">
      <c r="A16" s="21" t="s">
        <v>15</v>
      </c>
      <c r="B16" s="24" t="s">
        <v>24</v>
      </c>
      <c r="C16" s="24">
        <v>67538.27</v>
      </c>
    </row>
    <row r="17" spans="1:3" x14ac:dyDescent="0.25">
      <c r="A17" s="21" t="s">
        <v>23</v>
      </c>
      <c r="B17" s="28" t="s">
        <v>142</v>
      </c>
      <c r="C17" s="25">
        <f>291338/44178.7*2613</f>
        <v>17231.520936559929</v>
      </c>
    </row>
    <row r="18" spans="1:3" ht="26.25" x14ac:dyDescent="0.25">
      <c r="A18" s="21" t="s">
        <v>16</v>
      </c>
      <c r="B18" s="28" t="s">
        <v>143</v>
      </c>
      <c r="C18" s="25">
        <f>1420628.77/44178.7*2613</f>
        <v>84024.721777915605</v>
      </c>
    </row>
    <row r="19" spans="1:3" x14ac:dyDescent="0.25">
      <c r="A19" s="21" t="s">
        <v>17</v>
      </c>
      <c r="B19" s="24" t="s">
        <v>255</v>
      </c>
      <c r="C19" s="25">
        <f>24828.89/44178.7*2613</f>
        <v>1468.5332427165129</v>
      </c>
    </row>
    <row r="20" spans="1:3" x14ac:dyDescent="0.25">
      <c r="A20" s="21" t="s">
        <v>18</v>
      </c>
      <c r="B20" s="24" t="s">
        <v>144</v>
      </c>
      <c r="C20" s="25">
        <f>100497/44178.7*2613</f>
        <v>5944.0105978672982</v>
      </c>
    </row>
    <row r="21" spans="1:3" x14ac:dyDescent="0.25">
      <c r="A21" s="24"/>
      <c r="B21" s="22" t="s">
        <v>19</v>
      </c>
      <c r="C21" s="23">
        <f>SUM(C11:C20)</f>
        <v>249647.17741433001</v>
      </c>
    </row>
    <row r="22" spans="1:3" x14ac:dyDescent="0.25">
      <c r="A22" s="24"/>
      <c r="B22" s="24" t="s">
        <v>337</v>
      </c>
      <c r="C22" s="23">
        <f>C8-C21</f>
        <v>119034.58258567</v>
      </c>
    </row>
    <row r="41" spans="1:3" x14ac:dyDescent="0.25">
      <c r="A41" s="19"/>
    </row>
    <row r="42" spans="1:3" x14ac:dyDescent="0.25">
      <c r="A42" s="19"/>
      <c r="B42" s="19"/>
      <c r="C42" s="19"/>
    </row>
    <row r="43" spans="1:3" x14ac:dyDescent="0.25">
      <c r="A43" s="31"/>
      <c r="B43" s="31"/>
      <c r="C43" s="31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7" workbookViewId="0">
      <selection activeCell="D29" sqref="D29"/>
    </sheetView>
  </sheetViews>
  <sheetFormatPr defaultRowHeight="15" x14ac:dyDescent="0.25"/>
  <cols>
    <col min="1" max="1" width="6.42578125" customWidth="1"/>
    <col min="2" max="2" width="60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154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55</v>
      </c>
      <c r="C7" s="7">
        <v>99835.4</v>
      </c>
    </row>
    <row r="8" spans="1:3" x14ac:dyDescent="0.25">
      <c r="A8" s="5" t="s">
        <v>5</v>
      </c>
      <c r="B8" s="6" t="s">
        <v>6</v>
      </c>
      <c r="C8" s="6">
        <f>82106.21-4758.29</f>
        <v>77347.920000000013</v>
      </c>
    </row>
    <row r="9" spans="1:3" x14ac:dyDescent="0.25">
      <c r="A9" s="8"/>
      <c r="B9" s="8" t="s">
        <v>7</v>
      </c>
      <c r="C9" s="9">
        <f>C8/C7*100</f>
        <v>77.47544458178163</v>
      </c>
    </row>
    <row r="10" spans="1:3" x14ac:dyDescent="0.25">
      <c r="A10" s="5" t="s">
        <v>8</v>
      </c>
      <c r="B10" s="10" t="s">
        <v>9</v>
      </c>
      <c r="C10" s="8"/>
    </row>
    <row r="11" spans="1:3" ht="58.5" customHeight="1" x14ac:dyDescent="0.25">
      <c r="A11" s="11" t="s">
        <v>10</v>
      </c>
      <c r="B11" s="12" t="s">
        <v>160</v>
      </c>
      <c r="C11" s="13">
        <f>2978.5+1698.05+1412.32</f>
        <v>6088.87</v>
      </c>
    </row>
    <row r="12" spans="1:3" ht="157.5" customHeight="1" x14ac:dyDescent="0.25">
      <c r="A12" s="14" t="s">
        <v>11</v>
      </c>
      <c r="B12" s="12" t="s">
        <v>304</v>
      </c>
      <c r="C12" s="8">
        <f>195.13+195.13+83.63+209.07+1030.29+720+206.25+36</f>
        <v>2675.5</v>
      </c>
    </row>
    <row r="13" spans="1:3" ht="33" customHeight="1" x14ac:dyDescent="0.25">
      <c r="A13" s="5" t="s">
        <v>12</v>
      </c>
      <c r="B13" s="12" t="s">
        <v>155</v>
      </c>
      <c r="C13" s="9">
        <f>34050.83/9007.4*235.7+1427.24/44178.7*672.2</f>
        <v>912.73692394916202</v>
      </c>
    </row>
    <row r="14" spans="1:3" x14ac:dyDescent="0.25">
      <c r="A14" s="5" t="s">
        <v>13</v>
      </c>
      <c r="B14" s="8" t="s">
        <v>156</v>
      </c>
      <c r="C14" s="9">
        <f>364427.89/44178.7*672.2</f>
        <v>5544.944230092784</v>
      </c>
    </row>
    <row r="15" spans="1:3" ht="57.75" customHeight="1" x14ac:dyDescent="0.25">
      <c r="A15" s="11" t="s">
        <v>14</v>
      </c>
      <c r="B15" s="12" t="s">
        <v>260</v>
      </c>
      <c r="C15" s="8">
        <f>1139.11+1542.25+1292.71</f>
        <v>3974.0699999999997</v>
      </c>
    </row>
    <row r="16" spans="1:3" x14ac:dyDescent="0.25">
      <c r="A16" s="5" t="s">
        <v>15</v>
      </c>
      <c r="B16" s="8" t="s">
        <v>24</v>
      </c>
      <c r="C16" s="8">
        <v>12000</v>
      </c>
    </row>
    <row r="17" spans="1:3" x14ac:dyDescent="0.25">
      <c r="A17" s="5" t="s">
        <v>23</v>
      </c>
      <c r="B17" s="12" t="s">
        <v>157</v>
      </c>
      <c r="C17" s="9">
        <f>291338/44178.7*672.2</f>
        <v>4432.8466795084514</v>
      </c>
    </row>
    <row r="18" spans="1:3" ht="26.25" x14ac:dyDescent="0.25">
      <c r="A18" s="5" t="s">
        <v>16</v>
      </c>
      <c r="B18" s="12" t="s">
        <v>158</v>
      </c>
      <c r="C18" s="9">
        <f>1420628.77/44178.7*672.2</f>
        <v>21615.544576775686</v>
      </c>
    </row>
    <row r="19" spans="1:3" x14ac:dyDescent="0.25">
      <c r="A19" s="5" t="s">
        <v>17</v>
      </c>
      <c r="B19" s="8" t="s">
        <v>259</v>
      </c>
      <c r="C19" s="9">
        <f>24828.89/44178.7*672.2</f>
        <v>377.78340824877154</v>
      </c>
    </row>
    <row r="20" spans="1:3" x14ac:dyDescent="0.25">
      <c r="A20" s="5" t="s">
        <v>18</v>
      </c>
      <c r="B20" s="8" t="s">
        <v>159</v>
      </c>
      <c r="C20" s="9">
        <f>100497/44178.7*672.2</f>
        <v>1529.1098063093755</v>
      </c>
    </row>
    <row r="21" spans="1:3" x14ac:dyDescent="0.25">
      <c r="A21" s="8"/>
      <c r="B21" s="6" t="s">
        <v>19</v>
      </c>
      <c r="C21" s="7">
        <f>SUM(C11:C20)</f>
        <v>59151.405624884232</v>
      </c>
    </row>
    <row r="22" spans="1:3" x14ac:dyDescent="0.25">
      <c r="A22" s="8"/>
      <c r="B22" s="8" t="s">
        <v>305</v>
      </c>
      <c r="C22" s="7">
        <f>C8-C21</f>
        <v>18196.514375115781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E12" sqref="E12"/>
    </sheetView>
  </sheetViews>
  <sheetFormatPr defaultRowHeight="15" x14ac:dyDescent="0.25"/>
  <cols>
    <col min="1" max="1" width="6.42578125" customWidth="1"/>
    <col min="2" max="2" width="62.57031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87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229243.51999999999</v>
      </c>
    </row>
    <row r="8" spans="1:3" x14ac:dyDescent="0.25">
      <c r="A8" s="5" t="s">
        <v>5</v>
      </c>
      <c r="B8" s="6" t="s">
        <v>6</v>
      </c>
      <c r="C8" s="6">
        <f>224673.17-16322.12</f>
        <v>208351.05000000002</v>
      </c>
    </row>
    <row r="9" spans="1:3" x14ac:dyDescent="0.25">
      <c r="A9" s="8"/>
      <c r="B9" s="8" t="s">
        <v>7</v>
      </c>
      <c r="C9" s="9">
        <f>C8/C7*100</f>
        <v>90.886342174470201</v>
      </c>
    </row>
    <row r="10" spans="1:3" x14ac:dyDescent="0.25">
      <c r="A10" s="5" t="s">
        <v>8</v>
      </c>
      <c r="B10" s="10" t="s">
        <v>9</v>
      </c>
      <c r="C10" s="8"/>
    </row>
    <row r="11" spans="1:3" ht="59.25" customHeight="1" x14ac:dyDescent="0.25">
      <c r="A11" s="11" t="s">
        <v>10</v>
      </c>
      <c r="B11" s="12" t="s">
        <v>90</v>
      </c>
      <c r="C11" s="13">
        <f>14100.2+4289.58+5553.71</f>
        <v>23943.489999999998</v>
      </c>
    </row>
    <row r="12" spans="1:3" ht="195" customHeight="1" x14ac:dyDescent="0.25">
      <c r="A12" s="14" t="s">
        <v>11</v>
      </c>
      <c r="B12" s="12" t="s">
        <v>308</v>
      </c>
      <c r="C12" s="8">
        <f>780.53+195.13+292.7+114.99+418.14+544.05+2602.7+2400+56.5+10.1</f>
        <v>7414.84</v>
      </c>
    </row>
    <row r="13" spans="1:3" ht="39" x14ac:dyDescent="0.25">
      <c r="A13" s="5" t="s">
        <v>12</v>
      </c>
      <c r="B13" s="12" t="s">
        <v>91</v>
      </c>
      <c r="C13" s="9">
        <f>883.46+1427.24/44178.7*1698.1</f>
        <v>938.31893075169717</v>
      </c>
    </row>
    <row r="14" spans="1:3" x14ac:dyDescent="0.25">
      <c r="A14" s="5" t="s">
        <v>13</v>
      </c>
      <c r="B14" s="8" t="s">
        <v>92</v>
      </c>
      <c r="C14" s="9">
        <f>364427.89/44178.7*1698.1</f>
        <v>14007.542096281693</v>
      </c>
    </row>
    <row r="15" spans="1:3" ht="61.5" customHeight="1" x14ac:dyDescent="0.25">
      <c r="A15" s="11" t="s">
        <v>14</v>
      </c>
      <c r="B15" s="12" t="s">
        <v>257</v>
      </c>
      <c r="C15" s="8">
        <f>2877.59+3896+3265.61</f>
        <v>10039.200000000001</v>
      </c>
    </row>
    <row r="16" spans="1:3" x14ac:dyDescent="0.25">
      <c r="A16" s="5" t="s">
        <v>15</v>
      </c>
      <c r="B16" s="8" t="s">
        <v>24</v>
      </c>
      <c r="C16" s="8">
        <v>21041</v>
      </c>
    </row>
    <row r="17" spans="1:3" x14ac:dyDescent="0.25">
      <c r="A17" s="5" t="s">
        <v>23</v>
      </c>
      <c r="B17" s="12" t="s">
        <v>93</v>
      </c>
      <c r="C17" s="9">
        <f>291338/44178.7*1698.1</f>
        <v>11198.180521382477</v>
      </c>
    </row>
    <row r="18" spans="1:3" ht="26.25" x14ac:dyDescent="0.25">
      <c r="A18" s="5" t="s">
        <v>16</v>
      </c>
      <c r="B18" s="12" t="s">
        <v>94</v>
      </c>
      <c r="C18" s="9">
        <f>1420628.77/44178.7*1698.1</f>
        <v>54604.814409138336</v>
      </c>
    </row>
    <row r="19" spans="1:3" x14ac:dyDescent="0.25">
      <c r="A19" s="5" t="s">
        <v>17</v>
      </c>
      <c r="B19" s="8" t="s">
        <v>258</v>
      </c>
      <c r="C19" s="9">
        <f>24828.89/44178.7*1698.1</f>
        <v>954.3499041166898</v>
      </c>
    </row>
    <row r="20" spans="1:3" x14ac:dyDescent="0.25">
      <c r="A20" s="5" t="s">
        <v>18</v>
      </c>
      <c r="B20" s="8" t="s">
        <v>95</v>
      </c>
      <c r="C20" s="9">
        <f>100497/44178.7*1698.1</f>
        <v>3862.8107142129575</v>
      </c>
    </row>
    <row r="21" spans="1:3" x14ac:dyDescent="0.25">
      <c r="A21" s="8"/>
      <c r="B21" s="6" t="s">
        <v>19</v>
      </c>
      <c r="C21" s="7">
        <f>SUM(C11:C20)</f>
        <v>148004.54657588384</v>
      </c>
    </row>
    <row r="22" spans="1:3" x14ac:dyDescent="0.25">
      <c r="A22" s="8"/>
      <c r="B22" s="8" t="s">
        <v>307</v>
      </c>
      <c r="C22" s="7">
        <f>C8-C21</f>
        <v>60346.503424116177</v>
      </c>
    </row>
    <row r="24" spans="1:3" x14ac:dyDescent="0.25">
      <c r="C24" t="s">
        <v>88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0" workbookViewId="0">
      <selection activeCell="F15" sqref="F15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96</v>
      </c>
    </row>
    <row r="2" spans="1:3" x14ac:dyDescent="0.25">
      <c r="A2" s="1" t="s">
        <v>97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98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99</v>
      </c>
      <c r="C7" s="7">
        <v>67279.710000000006</v>
      </c>
    </row>
    <row r="8" spans="1:3" x14ac:dyDescent="0.25">
      <c r="A8" s="5" t="s">
        <v>5</v>
      </c>
      <c r="B8" s="6" t="s">
        <v>6</v>
      </c>
      <c r="C8" s="6">
        <f>67178.26-3344.14</f>
        <v>63834.119999999995</v>
      </c>
    </row>
    <row r="9" spans="1:3" x14ac:dyDescent="0.25">
      <c r="A9" s="8"/>
      <c r="B9" s="8" t="s">
        <v>7</v>
      </c>
      <c r="C9" s="9">
        <f>C8/C7*100</f>
        <v>94.878708603232667</v>
      </c>
    </row>
    <row r="10" spans="1:3" x14ac:dyDescent="0.25">
      <c r="A10" s="5" t="s">
        <v>8</v>
      </c>
      <c r="B10" s="10" t="s">
        <v>9</v>
      </c>
      <c r="C10" s="8"/>
    </row>
    <row r="11" spans="1:3" ht="60.75" customHeight="1" x14ac:dyDescent="0.25">
      <c r="A11" s="11" t="s">
        <v>10</v>
      </c>
      <c r="B11" s="12" t="s">
        <v>100</v>
      </c>
      <c r="C11" s="13">
        <f>2411.39+1144.32+1073.82</f>
        <v>4629.53</v>
      </c>
    </row>
    <row r="12" spans="1:3" ht="147.75" customHeight="1" x14ac:dyDescent="0.25">
      <c r="A12" s="14" t="s">
        <v>11</v>
      </c>
      <c r="B12" s="12" t="s">
        <v>309</v>
      </c>
      <c r="C12" s="8">
        <f>167.26+54.49+195.13+209.07+189.04+660+35.05</f>
        <v>1510.04</v>
      </c>
    </row>
    <row r="13" spans="1:3" x14ac:dyDescent="0.25">
      <c r="A13" s="5" t="s">
        <v>12</v>
      </c>
      <c r="B13" s="12" t="s">
        <v>89</v>
      </c>
      <c r="C13" s="9">
        <v>0</v>
      </c>
    </row>
    <row r="14" spans="1:3" x14ac:dyDescent="0.25">
      <c r="A14" s="5" t="s">
        <v>13</v>
      </c>
      <c r="B14" s="8" t="s">
        <v>101</v>
      </c>
      <c r="C14" s="9">
        <f>364427.89/44178.7*453</f>
        <v>3736.7743770187903</v>
      </c>
    </row>
    <row r="15" spans="1:3" ht="64.5" x14ac:dyDescent="0.25">
      <c r="A15" s="11" t="s">
        <v>14</v>
      </c>
      <c r="B15" s="12" t="s">
        <v>261</v>
      </c>
      <c r="C15" s="8">
        <f>767.65+1039.33+871.16</f>
        <v>2678.14</v>
      </c>
    </row>
    <row r="16" spans="1:3" x14ac:dyDescent="0.25">
      <c r="A16" s="5" t="s">
        <v>15</v>
      </c>
      <c r="B16" s="8" t="s">
        <v>24</v>
      </c>
      <c r="C16" s="8">
        <v>0</v>
      </c>
    </row>
    <row r="17" spans="1:3" x14ac:dyDescent="0.25">
      <c r="A17" s="5" t="s">
        <v>23</v>
      </c>
      <c r="B17" s="12" t="s">
        <v>102</v>
      </c>
      <c r="C17" s="9">
        <f>291338/44178.7*453</f>
        <v>2987.3245251671055</v>
      </c>
    </row>
    <row r="18" spans="1:3" ht="26.25" x14ac:dyDescent="0.25">
      <c r="A18" s="5" t="s">
        <v>16</v>
      </c>
      <c r="B18" s="12" t="s">
        <v>103</v>
      </c>
      <c r="C18" s="9">
        <f>1420628.77/44178.7*453</f>
        <v>14566.857621659306</v>
      </c>
    </row>
    <row r="19" spans="1:3" x14ac:dyDescent="0.25">
      <c r="A19" s="5" t="s">
        <v>17</v>
      </c>
      <c r="B19" s="8" t="s">
        <v>262</v>
      </c>
      <c r="C19" s="9">
        <f>24828.77/44178.7*453</f>
        <v>254.58949244771804</v>
      </c>
    </row>
    <row r="20" spans="1:3" x14ac:dyDescent="0.25">
      <c r="A20" s="5" t="s">
        <v>18</v>
      </c>
      <c r="B20" s="8" t="s">
        <v>104</v>
      </c>
      <c r="C20" s="9">
        <f>100497/44178.7*453</f>
        <v>1030.4771530171779</v>
      </c>
    </row>
    <row r="21" spans="1:3" x14ac:dyDescent="0.25">
      <c r="A21" s="8"/>
      <c r="B21" s="6" t="s">
        <v>19</v>
      </c>
      <c r="C21" s="7">
        <f>SUM(C11:C20)</f>
        <v>31393.733169310097</v>
      </c>
    </row>
    <row r="22" spans="1:3" x14ac:dyDescent="0.25">
      <c r="A22" s="8"/>
      <c r="B22" s="8" t="s">
        <v>310</v>
      </c>
      <c r="C22" s="7">
        <f>C8-C21</f>
        <v>32440.386830689898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12" sqref="F12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106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105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66551.98</v>
      </c>
    </row>
    <row r="8" spans="1:3" x14ac:dyDescent="0.25">
      <c r="A8" s="5" t="s">
        <v>5</v>
      </c>
      <c r="B8" s="6" t="s">
        <v>6</v>
      </c>
      <c r="C8" s="6">
        <f>58692.43-4101.56</f>
        <v>54590.87</v>
      </c>
    </row>
    <row r="9" spans="1:3" x14ac:dyDescent="0.25">
      <c r="A9" s="8"/>
      <c r="B9" s="8" t="s">
        <v>7</v>
      </c>
      <c r="C9" s="9">
        <f>C8/C7*100</f>
        <v>82.027416765060948</v>
      </c>
    </row>
    <row r="10" spans="1:3" x14ac:dyDescent="0.25">
      <c r="A10" s="5" t="s">
        <v>8</v>
      </c>
      <c r="B10" s="10" t="s">
        <v>9</v>
      </c>
      <c r="C10" s="8"/>
    </row>
    <row r="11" spans="1:3" ht="51.75" x14ac:dyDescent="0.25">
      <c r="A11" s="11" t="s">
        <v>10</v>
      </c>
      <c r="B11" s="12" t="s">
        <v>107</v>
      </c>
      <c r="C11" s="13">
        <f>1078.16+1042.02+640.29</f>
        <v>2760.4700000000003</v>
      </c>
    </row>
    <row r="12" spans="1:3" ht="163.5" customHeight="1" x14ac:dyDescent="0.25">
      <c r="A12" s="14" t="s">
        <v>11</v>
      </c>
      <c r="B12" s="12" t="s">
        <v>312</v>
      </c>
      <c r="C12" s="8">
        <f>634.18+195.13+83.63+38.33+278.76+268.34+130</f>
        <v>1628.37</v>
      </c>
    </row>
    <row r="13" spans="1:3" ht="26.25" x14ac:dyDescent="0.25">
      <c r="A13" s="5" t="s">
        <v>12</v>
      </c>
      <c r="B13" s="12" t="s">
        <v>109</v>
      </c>
      <c r="C13" s="9">
        <f>1147.7+1427.24/44178.7*412.5</f>
        <v>1161.0262522437283</v>
      </c>
    </row>
    <row r="14" spans="1:3" x14ac:dyDescent="0.25">
      <c r="A14" s="5" t="s">
        <v>13</v>
      </c>
      <c r="B14" s="8" t="s">
        <v>108</v>
      </c>
      <c r="C14" s="9">
        <f>364427.89/44178.7*412.5</f>
        <v>3402.6918996032032</v>
      </c>
    </row>
    <row r="15" spans="1:3" ht="64.5" x14ac:dyDescent="0.25">
      <c r="A15" s="11" t="s">
        <v>14</v>
      </c>
      <c r="B15" s="12" t="s">
        <v>264</v>
      </c>
      <c r="C15" s="8">
        <f>699.02+946.41+793.98</f>
        <v>2439.41</v>
      </c>
    </row>
    <row r="16" spans="1:3" x14ac:dyDescent="0.25">
      <c r="A16" s="5" t="s">
        <v>15</v>
      </c>
      <c r="B16" s="8" t="s">
        <v>24</v>
      </c>
      <c r="C16" s="8">
        <v>5602</v>
      </c>
    </row>
    <row r="17" spans="1:3" x14ac:dyDescent="0.25">
      <c r="A17" s="5" t="s">
        <v>16</v>
      </c>
      <c r="B17" s="12" t="s">
        <v>110</v>
      </c>
      <c r="C17" s="9">
        <f>291338/44178.7*412.5</f>
        <v>2720.2458424534902</v>
      </c>
    </row>
    <row r="18" spans="1:3" ht="26.25" x14ac:dyDescent="0.25">
      <c r="A18" s="5" t="s">
        <v>17</v>
      </c>
      <c r="B18" s="12" t="s">
        <v>111</v>
      </c>
      <c r="C18" s="9">
        <f>1420628.77/44178.7*412.5</f>
        <v>13264.5226687295</v>
      </c>
    </row>
    <row r="19" spans="1:3" x14ac:dyDescent="0.25">
      <c r="A19" s="5" t="s">
        <v>18</v>
      </c>
      <c r="B19" s="8" t="s">
        <v>263</v>
      </c>
      <c r="C19" s="9">
        <f>24828.89/44178.7*412.5</f>
        <v>231.82930065846213</v>
      </c>
    </row>
    <row r="20" spans="1:3" x14ac:dyDescent="0.25">
      <c r="A20" s="5" t="s">
        <v>128</v>
      </c>
      <c r="B20" s="8" t="s">
        <v>236</v>
      </c>
      <c r="C20" s="9">
        <f>100497/44178.7*412.5</f>
        <v>938.34840092623824</v>
      </c>
    </row>
    <row r="21" spans="1:3" x14ac:dyDescent="0.25">
      <c r="A21" s="8"/>
      <c r="B21" s="6" t="s">
        <v>19</v>
      </c>
      <c r="C21" s="7">
        <f>SUM(C11:C20)</f>
        <v>34148.914364614626</v>
      </c>
    </row>
    <row r="22" spans="1:3" x14ac:dyDescent="0.25">
      <c r="A22" s="8"/>
      <c r="B22" s="8" t="s">
        <v>311</v>
      </c>
      <c r="C22" s="7">
        <f>C8-C21</f>
        <v>20441.955635385377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3" workbookViewId="0">
      <selection activeCell="E26" sqref="E26"/>
    </sheetView>
  </sheetViews>
  <sheetFormatPr defaultRowHeight="15" x14ac:dyDescent="0.25"/>
  <cols>
    <col min="1" max="1" width="6.5703125" customWidth="1"/>
    <col min="2" max="2" width="61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106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112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606631.05000000005</v>
      </c>
    </row>
    <row r="8" spans="1:3" x14ac:dyDescent="0.25">
      <c r="A8" s="5" t="s">
        <v>5</v>
      </c>
      <c r="B8" s="6" t="s">
        <v>6</v>
      </c>
      <c r="C8" s="6">
        <f>622716.42-43047.93</f>
        <v>579668.49</v>
      </c>
    </row>
    <row r="9" spans="1:3" x14ac:dyDescent="0.25">
      <c r="A9" s="8"/>
      <c r="B9" s="8" t="s">
        <v>7</v>
      </c>
      <c r="C9" s="9">
        <f>C8/C7*100</f>
        <v>95.55536103864118</v>
      </c>
    </row>
    <row r="10" spans="1:3" x14ac:dyDescent="0.25">
      <c r="A10" s="5" t="s">
        <v>8</v>
      </c>
      <c r="B10" s="10" t="s">
        <v>9</v>
      </c>
      <c r="C10" s="8"/>
    </row>
    <row r="11" spans="1:3" ht="58.5" customHeight="1" x14ac:dyDescent="0.25">
      <c r="A11" s="5" t="s">
        <v>10</v>
      </c>
      <c r="B11" s="12" t="s">
        <v>113</v>
      </c>
      <c r="C11" s="13">
        <f>11625.67+10317.87+6626.95</f>
        <v>28570.49</v>
      </c>
    </row>
    <row r="12" spans="1:3" ht="179.25" customHeight="1" x14ac:dyDescent="0.25">
      <c r="A12" s="18" t="s">
        <v>11</v>
      </c>
      <c r="B12" s="12" t="s">
        <v>313</v>
      </c>
      <c r="C12" s="8">
        <f>585.4+195.13+627.21+344.96+278.76+613.5+6260.37+4800+340</f>
        <v>14045.33</v>
      </c>
    </row>
    <row r="13" spans="1:3" ht="33.75" customHeight="1" x14ac:dyDescent="0.25">
      <c r="A13" s="5" t="s">
        <v>12</v>
      </c>
      <c r="B13" s="12" t="s">
        <v>114</v>
      </c>
      <c r="C13" s="9">
        <f>4045.32+1427.24/44178.7*4084.5</f>
        <v>4177.2741267624442</v>
      </c>
    </row>
    <row r="14" spans="1:3" x14ac:dyDescent="0.25">
      <c r="A14" s="5" t="s">
        <v>13</v>
      </c>
      <c r="B14" s="8" t="s">
        <v>115</v>
      </c>
      <c r="C14" s="9">
        <f>364427.89/44178.7*4084.5+40210</f>
        <v>73902.836518616445</v>
      </c>
    </row>
    <row r="15" spans="1:3" x14ac:dyDescent="0.25">
      <c r="A15" s="11" t="s">
        <v>14</v>
      </c>
      <c r="B15" s="12" t="s">
        <v>116</v>
      </c>
      <c r="C15" s="8"/>
    </row>
    <row r="16" spans="1:3" x14ac:dyDescent="0.25">
      <c r="A16" s="5" t="s">
        <v>15</v>
      </c>
      <c r="B16" s="8" t="s">
        <v>117</v>
      </c>
      <c r="C16" s="8">
        <v>107410</v>
      </c>
    </row>
    <row r="17" spans="1:3" ht="64.5" x14ac:dyDescent="0.25">
      <c r="A17" s="5" t="s">
        <v>23</v>
      </c>
      <c r="B17" s="28" t="s">
        <v>265</v>
      </c>
      <c r="C17" s="8">
        <f>6921.57+9371.19+7854.9</f>
        <v>24147.66</v>
      </c>
    </row>
    <row r="18" spans="1:3" x14ac:dyDescent="0.25">
      <c r="A18" s="5" t="s">
        <v>16</v>
      </c>
      <c r="B18" s="12" t="s">
        <v>118</v>
      </c>
      <c r="C18" s="9">
        <f>291338/44178.7*4084.5</f>
        <v>26935.379741821289</v>
      </c>
    </row>
    <row r="19" spans="1:3" ht="26.25" x14ac:dyDescent="0.25">
      <c r="A19" s="5" t="s">
        <v>17</v>
      </c>
      <c r="B19" s="12" t="s">
        <v>119</v>
      </c>
      <c r="C19" s="9">
        <f>1420628.77/44178.7*4084.5</f>
        <v>131342.8917343652</v>
      </c>
    </row>
    <row r="20" spans="1:3" x14ac:dyDescent="0.25">
      <c r="A20" s="5" t="s">
        <v>18</v>
      </c>
      <c r="B20" s="8" t="s">
        <v>266</v>
      </c>
      <c r="C20" s="9">
        <f>24828.89/44178.7*4084.5</f>
        <v>2295.5315843381541</v>
      </c>
    </row>
    <row r="21" spans="1:3" x14ac:dyDescent="0.25">
      <c r="A21" s="5" t="s">
        <v>128</v>
      </c>
      <c r="B21" s="8" t="s">
        <v>235</v>
      </c>
      <c r="C21" s="9">
        <f>100497/44178.8*4084.5</f>
        <v>9291.3342259183119</v>
      </c>
    </row>
    <row r="22" spans="1:3" x14ac:dyDescent="0.25">
      <c r="A22" s="8"/>
      <c r="B22" s="6" t="s">
        <v>19</v>
      </c>
      <c r="C22" s="7">
        <f>SUM(C11:C21)</f>
        <v>422118.72793182184</v>
      </c>
    </row>
    <row r="23" spans="1:3" x14ac:dyDescent="0.25">
      <c r="A23" s="8"/>
      <c r="B23" s="8" t="s">
        <v>314</v>
      </c>
      <c r="C23" s="7">
        <f>C8-C22</f>
        <v>157549.76206817816</v>
      </c>
    </row>
    <row r="42" spans="1:3" x14ac:dyDescent="0.25">
      <c r="A42" s="1"/>
    </row>
    <row r="43" spans="1:3" x14ac:dyDescent="0.25">
      <c r="A43" s="1"/>
      <c r="B43" s="1"/>
      <c r="C43" s="1"/>
    </row>
    <row r="44" spans="1:3" x14ac:dyDescent="0.25">
      <c r="A44" s="15"/>
      <c r="B44" s="15"/>
      <c r="C44" s="15"/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24" sqref="F24"/>
    </sheetView>
  </sheetViews>
  <sheetFormatPr defaultRowHeight="15" x14ac:dyDescent="0.25"/>
  <cols>
    <col min="1" max="1" width="7.7109375" customWidth="1"/>
    <col min="2" max="2" width="60.28515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130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86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289436.79999999999</v>
      </c>
    </row>
    <row r="8" spans="1:3" x14ac:dyDescent="0.25">
      <c r="A8" s="5" t="s">
        <v>5</v>
      </c>
      <c r="B8" s="6" t="s">
        <v>6</v>
      </c>
      <c r="C8" s="6">
        <f>306556.3-21685.79</f>
        <v>284870.51</v>
      </c>
    </row>
    <row r="9" spans="1:3" x14ac:dyDescent="0.25">
      <c r="A9" s="8"/>
      <c r="B9" s="8" t="s">
        <v>7</v>
      </c>
      <c r="C9" s="9">
        <f>C8/C7*100</f>
        <v>98.422353342767749</v>
      </c>
    </row>
    <row r="10" spans="1:3" x14ac:dyDescent="0.25">
      <c r="A10" s="5" t="s">
        <v>8</v>
      </c>
      <c r="B10" s="10" t="s">
        <v>9</v>
      </c>
      <c r="C10" s="8"/>
    </row>
    <row r="11" spans="1:3" ht="57.75" customHeight="1" x14ac:dyDescent="0.25">
      <c r="A11" s="11" t="s">
        <v>10</v>
      </c>
      <c r="B11" s="12" t="s">
        <v>131</v>
      </c>
      <c r="C11" s="13">
        <f>20128.68+4922.87+7565.57</f>
        <v>32617.119999999999</v>
      </c>
    </row>
    <row r="12" spans="1:3" ht="153.75" customHeight="1" x14ac:dyDescent="0.25">
      <c r="A12" s="14" t="s">
        <v>11</v>
      </c>
      <c r="B12" s="12" t="s">
        <v>315</v>
      </c>
      <c r="C12" s="8">
        <f>390.26+195.13+83.63+41.81+418.14+340.95+2986.95+2400+20</f>
        <v>6876.87</v>
      </c>
    </row>
    <row r="13" spans="1:3" ht="43.5" customHeight="1" x14ac:dyDescent="0.25">
      <c r="A13" s="5" t="s">
        <v>12</v>
      </c>
      <c r="B13" s="12" t="s">
        <v>136</v>
      </c>
      <c r="C13" s="9">
        <f>2077.28+1427.24/44178.7*1948.8 + 962.51</f>
        <v>3102.74806150928</v>
      </c>
    </row>
    <row r="14" spans="1:3" x14ac:dyDescent="0.25">
      <c r="A14" s="5" t="s">
        <v>13</v>
      </c>
      <c r="B14" s="8" t="s">
        <v>132</v>
      </c>
      <c r="C14" s="9">
        <f>364427.89/44178.7*1948.8</f>
        <v>16075.553876234477</v>
      </c>
    </row>
    <row r="15" spans="1:3" ht="60" customHeight="1" x14ac:dyDescent="0.25">
      <c r="A15" s="11" t="s">
        <v>14</v>
      </c>
      <c r="B15" s="12" t="s">
        <v>267</v>
      </c>
      <c r="C15" s="8">
        <f>3302.43+4471.19+3747.73</f>
        <v>11521.349999999999</v>
      </c>
    </row>
    <row r="16" spans="1:3" x14ac:dyDescent="0.25">
      <c r="A16" s="5" t="s">
        <v>15</v>
      </c>
      <c r="B16" s="8" t="s">
        <v>24</v>
      </c>
      <c r="C16" s="8">
        <v>78496.509999999995</v>
      </c>
    </row>
    <row r="17" spans="1:3" x14ac:dyDescent="0.25">
      <c r="A17" s="5" t="s">
        <v>23</v>
      </c>
      <c r="B17" s="12" t="s">
        <v>133</v>
      </c>
      <c r="C17" s="9">
        <f>291338/44178.7*1948.8</f>
        <v>12851.430540056635</v>
      </c>
    </row>
    <row r="18" spans="1:3" ht="26.25" x14ac:dyDescent="0.25">
      <c r="A18" s="5" t="s">
        <v>16</v>
      </c>
      <c r="B18" s="12" t="s">
        <v>134</v>
      </c>
      <c r="C18" s="9">
        <f>1420628.77/44178.7*1948.8</f>
        <v>62666.428549866789</v>
      </c>
    </row>
    <row r="19" spans="1:3" x14ac:dyDescent="0.25">
      <c r="A19" s="5" t="s">
        <v>18</v>
      </c>
      <c r="B19" s="8" t="s">
        <v>268</v>
      </c>
      <c r="C19" s="9">
        <f>24828.89/44178.7*1948.8</f>
        <v>1095.2459178744509</v>
      </c>
    </row>
    <row r="20" spans="1:3" x14ac:dyDescent="0.25">
      <c r="A20" s="5" t="s">
        <v>128</v>
      </c>
      <c r="B20" s="8" t="s">
        <v>135</v>
      </c>
      <c r="C20" s="9">
        <f>100497/44178.7*1948.8</f>
        <v>4433.0990635758862</v>
      </c>
    </row>
    <row r="21" spans="1:3" x14ac:dyDescent="0.25">
      <c r="A21" s="8"/>
      <c r="B21" s="6" t="s">
        <v>19</v>
      </c>
      <c r="C21" s="7">
        <f>SUM(C11:C20)</f>
        <v>229736.35600911753</v>
      </c>
    </row>
    <row r="22" spans="1:3" x14ac:dyDescent="0.25">
      <c r="A22" s="8"/>
      <c r="B22" s="8" t="s">
        <v>316</v>
      </c>
      <c r="C22" s="7">
        <f>C8-C21</f>
        <v>55134.153990882478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12" sqref="F12"/>
    </sheetView>
  </sheetViews>
  <sheetFormatPr defaultRowHeight="15" x14ac:dyDescent="0.25"/>
  <cols>
    <col min="1" max="1" width="7.7109375" customWidth="1"/>
    <col min="2" max="2" width="60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130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150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120946.58</v>
      </c>
    </row>
    <row r="8" spans="1:3" x14ac:dyDescent="0.25">
      <c r="A8" s="5" t="s">
        <v>5</v>
      </c>
      <c r="B8" s="6" t="s">
        <v>6</v>
      </c>
      <c r="C8" s="6">
        <f>111293.11-9059.75</f>
        <v>102233.36</v>
      </c>
    </row>
    <row r="9" spans="1:3" x14ac:dyDescent="0.25">
      <c r="A9" s="8"/>
      <c r="B9" s="8" t="s">
        <v>7</v>
      </c>
      <c r="C9" s="9">
        <f>C8/C7*100</f>
        <v>84.527698096134671</v>
      </c>
    </row>
    <row r="10" spans="1:3" x14ac:dyDescent="0.25">
      <c r="A10" s="5" t="s">
        <v>8</v>
      </c>
      <c r="B10" s="10" t="s">
        <v>9</v>
      </c>
      <c r="C10" s="8"/>
    </row>
    <row r="11" spans="1:3" ht="56.25" customHeight="1" x14ac:dyDescent="0.25">
      <c r="A11" s="11" t="s">
        <v>10</v>
      </c>
      <c r="B11" s="12" t="s">
        <v>147</v>
      </c>
      <c r="C11" s="13">
        <f>382.24+1331.84+582.79</f>
        <v>2296.87</v>
      </c>
    </row>
    <row r="12" spans="1:3" ht="123" customHeight="1" x14ac:dyDescent="0.25">
      <c r="A12" s="14" t="s">
        <v>11</v>
      </c>
      <c r="B12" s="12" t="s">
        <v>317</v>
      </c>
      <c r="C12" s="8">
        <f>97.57+95.57+76.66+20.91+139.38+130.49+1320</f>
        <v>1880.58</v>
      </c>
    </row>
    <row r="13" spans="1:3" ht="33.75" customHeight="1" x14ac:dyDescent="0.25">
      <c r="A13" s="5" t="s">
        <v>12</v>
      </c>
      <c r="B13" s="12" t="s">
        <v>148</v>
      </c>
      <c r="C13" s="9">
        <f>1427.24/44178.7*895.9</f>
        <v>28.94300457007563</v>
      </c>
    </row>
    <row r="14" spans="1:3" x14ac:dyDescent="0.25">
      <c r="A14" s="5" t="s">
        <v>13</v>
      </c>
      <c r="B14" s="8" t="s">
        <v>149</v>
      </c>
      <c r="C14" s="9">
        <f>364427.89/44178.7*895.9</f>
        <v>7390.2343584351747</v>
      </c>
    </row>
    <row r="15" spans="1:3" ht="60" customHeight="1" x14ac:dyDescent="0.25">
      <c r="A15" s="11" t="s">
        <v>14</v>
      </c>
      <c r="B15" s="12" t="s">
        <v>269</v>
      </c>
      <c r="C15" s="8">
        <f>1518.19+2035.21+1722.9</f>
        <v>5276.3</v>
      </c>
    </row>
    <row r="16" spans="1:3" x14ac:dyDescent="0.25">
      <c r="A16" s="5" t="s">
        <v>15</v>
      </c>
      <c r="B16" s="8" t="s">
        <v>24</v>
      </c>
      <c r="C16" s="8">
        <v>25473</v>
      </c>
    </row>
    <row r="17" spans="1:3" x14ac:dyDescent="0.25">
      <c r="A17" s="5" t="s">
        <v>16</v>
      </c>
      <c r="B17" s="12" t="s">
        <v>151</v>
      </c>
      <c r="C17" s="9">
        <f>291338/44178.7*895.9</f>
        <v>5908.044243040199</v>
      </c>
    </row>
    <row r="18" spans="1:3" ht="26.25" x14ac:dyDescent="0.25">
      <c r="A18" s="5" t="s">
        <v>17</v>
      </c>
      <c r="B18" s="12" t="s">
        <v>153</v>
      </c>
      <c r="C18" s="9">
        <f>1420628.7/44178.7*895.9</f>
        <v>28808.933996020707</v>
      </c>
    </row>
    <row r="19" spans="1:3" x14ac:dyDescent="0.25">
      <c r="A19" s="5" t="s">
        <v>17</v>
      </c>
      <c r="B19" s="12" t="s">
        <v>270</v>
      </c>
      <c r="C19" s="9">
        <f>24828.89/44178.7*895.9</f>
        <v>503.50514050888779</v>
      </c>
    </row>
    <row r="20" spans="1:3" x14ac:dyDescent="0.25">
      <c r="A20" s="5" t="s">
        <v>128</v>
      </c>
      <c r="B20" s="8" t="s">
        <v>152</v>
      </c>
      <c r="C20" s="9">
        <f>100497/44178.7*895.9</f>
        <v>2037.978987611677</v>
      </c>
    </row>
    <row r="21" spans="1:3" x14ac:dyDescent="0.25">
      <c r="A21" s="8"/>
      <c r="B21" s="6" t="s">
        <v>19</v>
      </c>
      <c r="C21" s="7">
        <f>SUM(C11:C20)</f>
        <v>79604.389730186711</v>
      </c>
    </row>
    <row r="22" spans="1:3" x14ac:dyDescent="0.25">
      <c r="A22" s="8"/>
      <c r="B22" s="8" t="s">
        <v>318</v>
      </c>
      <c r="C22" s="7">
        <f>C8-C21</f>
        <v>22628.97026981329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3" workbookViewId="0">
      <selection activeCell="F12" sqref="F12"/>
    </sheetView>
  </sheetViews>
  <sheetFormatPr defaultRowHeight="15" x14ac:dyDescent="0.25"/>
  <cols>
    <col min="1" max="1" width="6.7109375" customWidth="1"/>
    <col min="2" max="2" width="59.8554687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97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162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163</v>
      </c>
      <c r="C7" s="7">
        <v>71909.97</v>
      </c>
    </row>
    <row r="8" spans="1:3" x14ac:dyDescent="0.25">
      <c r="A8" s="5" t="s">
        <v>5</v>
      </c>
      <c r="B8" s="6" t="s">
        <v>6</v>
      </c>
      <c r="C8" s="6">
        <f>55432.03-3339.75</f>
        <v>52092.28</v>
      </c>
    </row>
    <row r="9" spans="1:3" x14ac:dyDescent="0.25">
      <c r="A9" s="8"/>
      <c r="B9" s="8" t="s">
        <v>7</v>
      </c>
      <c r="C9" s="9">
        <f>C8/C7*100</f>
        <v>72.44097028548336</v>
      </c>
    </row>
    <row r="10" spans="1:3" x14ac:dyDescent="0.25">
      <c r="A10" s="5" t="s">
        <v>8</v>
      </c>
      <c r="B10" s="10" t="s">
        <v>9</v>
      </c>
      <c r="C10" s="8"/>
    </row>
    <row r="11" spans="1:3" ht="57" customHeight="1" x14ac:dyDescent="0.25">
      <c r="A11" s="11" t="s">
        <v>10</v>
      </c>
      <c r="B11" s="12" t="s">
        <v>165</v>
      </c>
      <c r="C11" s="13">
        <f>1517.17+458.18</f>
        <v>1975.3500000000001</v>
      </c>
    </row>
    <row r="12" spans="1:3" ht="94.5" customHeight="1" x14ac:dyDescent="0.25">
      <c r="A12" s="14" t="s">
        <v>11</v>
      </c>
      <c r="B12" s="12" t="s">
        <v>166</v>
      </c>
      <c r="C12" s="8">
        <f>487.83+167.26+278.86+282.02</f>
        <v>1215.9699999999998</v>
      </c>
    </row>
    <row r="13" spans="1:3" x14ac:dyDescent="0.25">
      <c r="A13" s="5" t="s">
        <v>12</v>
      </c>
      <c r="B13" s="12" t="s">
        <v>167</v>
      </c>
      <c r="C13" s="33">
        <v>0</v>
      </c>
    </row>
    <row r="14" spans="1:3" x14ac:dyDescent="0.25">
      <c r="A14" s="5" t="s">
        <v>13</v>
      </c>
      <c r="B14" s="8" t="s">
        <v>161</v>
      </c>
      <c r="C14" s="33">
        <v>0</v>
      </c>
    </row>
    <row r="15" spans="1:3" ht="64.5" x14ac:dyDescent="0.25">
      <c r="A15" s="11" t="s">
        <v>14</v>
      </c>
      <c r="B15" s="12" t="s">
        <v>273</v>
      </c>
      <c r="C15" s="8">
        <f>1017.77+1377.97+1155.01</f>
        <v>3550.75</v>
      </c>
    </row>
    <row r="16" spans="1:3" ht="46.5" customHeight="1" x14ac:dyDescent="0.25">
      <c r="A16" s="5" t="s">
        <v>15</v>
      </c>
      <c r="B16" s="32" t="s">
        <v>164</v>
      </c>
      <c r="C16" s="8">
        <v>28687</v>
      </c>
    </row>
    <row r="17" spans="1:3" x14ac:dyDescent="0.25">
      <c r="A17" s="5" t="s">
        <v>23</v>
      </c>
      <c r="B17" s="12" t="s">
        <v>168</v>
      </c>
      <c r="C17" s="9">
        <f>291338/44178.7*600.6</f>
        <v>3960.6779466122821</v>
      </c>
    </row>
    <row r="18" spans="1:3" ht="30" customHeight="1" x14ac:dyDescent="0.25">
      <c r="A18" s="5" t="s">
        <v>16</v>
      </c>
      <c r="B18" s="12" t="s">
        <v>169</v>
      </c>
      <c r="C18" s="9">
        <f>1420628.77/44178.7*600.6</f>
        <v>19313.145005670154</v>
      </c>
    </row>
    <row r="19" spans="1:3" ht="21" customHeight="1" x14ac:dyDescent="0.25">
      <c r="A19" s="5" t="s">
        <v>17</v>
      </c>
      <c r="B19" s="12" t="s">
        <v>272</v>
      </c>
      <c r="C19" s="9">
        <v>41985.760000000002</v>
      </c>
    </row>
    <row r="20" spans="1:3" x14ac:dyDescent="0.25">
      <c r="A20" s="5" t="s">
        <v>18</v>
      </c>
      <c r="B20" s="8" t="s">
        <v>271</v>
      </c>
      <c r="C20" s="9">
        <f>24828.89/44178.7*600.6</f>
        <v>337.54346175872087</v>
      </c>
    </row>
    <row r="21" spans="1:3" x14ac:dyDescent="0.25">
      <c r="A21" s="5" t="s">
        <v>128</v>
      </c>
      <c r="B21" s="8" t="s">
        <v>170</v>
      </c>
      <c r="C21" s="9">
        <f>100497/44178.7*600.6</f>
        <v>1366.2352717486028</v>
      </c>
    </row>
    <row r="22" spans="1:3" x14ac:dyDescent="0.25">
      <c r="A22" s="8"/>
      <c r="B22" s="6" t="s">
        <v>19</v>
      </c>
      <c r="C22" s="7">
        <f>SUM(C11:C21)</f>
        <v>102392.43168578975</v>
      </c>
    </row>
    <row r="23" spans="1:3" x14ac:dyDescent="0.25">
      <c r="A23" s="8"/>
      <c r="B23" s="8" t="s">
        <v>319</v>
      </c>
      <c r="C23" s="7">
        <f>C8-C22</f>
        <v>-50300.151685789751</v>
      </c>
    </row>
    <row r="42" spans="1:3" x14ac:dyDescent="0.25">
      <c r="A42" s="1"/>
    </row>
    <row r="43" spans="1:3" x14ac:dyDescent="0.25">
      <c r="A43" s="1"/>
      <c r="B43" s="1"/>
      <c r="C43" s="1"/>
    </row>
    <row r="44" spans="1:3" x14ac:dyDescent="0.25">
      <c r="A44" s="15"/>
      <c r="B44" s="15"/>
      <c r="C44" s="15"/>
    </row>
  </sheetData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G12" sqref="G12"/>
    </sheetView>
  </sheetViews>
  <sheetFormatPr defaultRowHeight="15" x14ac:dyDescent="0.25"/>
  <cols>
    <col min="1" max="1" width="6.42578125" customWidth="1"/>
    <col min="2" max="2" width="60.425781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171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172</v>
      </c>
      <c r="C7" s="7">
        <v>40988.050000000003</v>
      </c>
    </row>
    <row r="8" spans="1:3" x14ac:dyDescent="0.25">
      <c r="A8" s="5" t="s">
        <v>5</v>
      </c>
      <c r="B8" s="6" t="s">
        <v>6</v>
      </c>
      <c r="C8" s="6">
        <v>40988</v>
      </c>
    </row>
    <row r="9" spans="1:3" x14ac:dyDescent="0.25">
      <c r="A9" s="8"/>
      <c r="B9" s="8" t="s">
        <v>7</v>
      </c>
      <c r="C9" s="9">
        <f>C8/C7*100</f>
        <v>99.999878013225796</v>
      </c>
    </row>
    <row r="10" spans="1:3" x14ac:dyDescent="0.25">
      <c r="A10" s="5" t="s">
        <v>8</v>
      </c>
      <c r="B10" s="10" t="s">
        <v>9</v>
      </c>
      <c r="C10" s="8"/>
    </row>
    <row r="11" spans="1:3" ht="60" customHeight="1" x14ac:dyDescent="0.25">
      <c r="A11" s="11" t="s">
        <v>10</v>
      </c>
      <c r="B11" s="12" t="s">
        <v>178</v>
      </c>
      <c r="C11" s="13">
        <f>4408.17+902.07+1603.69</f>
        <v>6913.93</v>
      </c>
    </row>
    <row r="12" spans="1:3" ht="142.5" customHeight="1" x14ac:dyDescent="0.25">
      <c r="A12" s="14" t="s">
        <v>11</v>
      </c>
      <c r="B12" s="12" t="s">
        <v>320</v>
      </c>
      <c r="C12" s="8">
        <f>170.74+146.35+18.18+69.69+122.3+9.3</f>
        <v>536.55999999999995</v>
      </c>
    </row>
    <row r="13" spans="1:3" ht="39" x14ac:dyDescent="0.25">
      <c r="A13" s="5" t="s">
        <v>12</v>
      </c>
      <c r="B13" s="12" t="s">
        <v>173</v>
      </c>
      <c r="C13" s="9">
        <f>345.52+1427.24/44178.7*357.1</f>
        <v>357.056496184813</v>
      </c>
    </row>
    <row r="14" spans="1:3" x14ac:dyDescent="0.25">
      <c r="A14" s="5" t="s">
        <v>13</v>
      </c>
      <c r="B14" s="8" t="s">
        <v>174</v>
      </c>
      <c r="C14" s="16">
        <f>364427.89/44178.7*357.1</f>
        <v>2945.7000662989185</v>
      </c>
    </row>
    <row r="15" spans="1:3" ht="61.5" customHeight="1" x14ac:dyDescent="0.25">
      <c r="A15" s="11" t="s">
        <v>14</v>
      </c>
      <c r="B15" s="12" t="s">
        <v>275</v>
      </c>
      <c r="C15" s="8">
        <f>605.14+819.31+686.74</f>
        <v>2111.1899999999996</v>
      </c>
    </row>
    <row r="16" spans="1:3" x14ac:dyDescent="0.25">
      <c r="A16" s="5" t="s">
        <v>15</v>
      </c>
      <c r="B16" s="8" t="s">
        <v>24</v>
      </c>
      <c r="C16" s="8">
        <v>19188</v>
      </c>
    </row>
    <row r="17" spans="1:3" x14ac:dyDescent="0.25">
      <c r="A17" s="5" t="s">
        <v>23</v>
      </c>
      <c r="B17" s="12" t="s">
        <v>175</v>
      </c>
      <c r="C17" s="9">
        <f>291338/44178.7*357.1</f>
        <v>2354.9085826427672</v>
      </c>
    </row>
    <row r="18" spans="1:3" ht="26.25" x14ac:dyDescent="0.25">
      <c r="A18" s="5" t="s">
        <v>16</v>
      </c>
      <c r="B18" s="12" t="s">
        <v>176</v>
      </c>
      <c r="C18" s="9">
        <f>1420628.77/44178.7*357.1</f>
        <v>11483.057078795891</v>
      </c>
    </row>
    <row r="19" spans="1:3" x14ac:dyDescent="0.25">
      <c r="A19" s="5" t="s">
        <v>17</v>
      </c>
      <c r="B19" s="8" t="s">
        <v>274</v>
      </c>
      <c r="C19" s="9">
        <f>24828.89/44178.7*357.1</f>
        <v>200.69392306699839</v>
      </c>
    </row>
    <row r="20" spans="1:3" x14ac:dyDescent="0.25">
      <c r="A20" s="5" t="s">
        <v>18</v>
      </c>
      <c r="B20" s="8" t="s">
        <v>177</v>
      </c>
      <c r="C20" s="9">
        <f>10497/44178.7*357.1</f>
        <v>84.84809874441757</v>
      </c>
    </row>
    <row r="21" spans="1:3" x14ac:dyDescent="0.25">
      <c r="A21" s="8"/>
      <c r="B21" s="6" t="s">
        <v>19</v>
      </c>
      <c r="C21" s="7">
        <f>SUM(C11:C20)</f>
        <v>46175.944245733808</v>
      </c>
    </row>
    <row r="22" spans="1:3" x14ac:dyDescent="0.25">
      <c r="A22" s="8"/>
      <c r="B22" s="8" t="s">
        <v>321</v>
      </c>
      <c r="C22" s="7">
        <f>C8-C21</f>
        <v>-5187.9442457338082</v>
      </c>
    </row>
    <row r="26" spans="1:3" x14ac:dyDescent="0.25">
      <c r="B26" t="s">
        <v>88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12" sqref="F12"/>
    </sheetView>
  </sheetViews>
  <sheetFormatPr defaultRowHeight="15" x14ac:dyDescent="0.25"/>
  <cols>
    <col min="1" max="1" width="6.28515625" customWidth="1"/>
    <col min="2" max="2" width="61.8554687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221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222</v>
      </c>
      <c r="C7" s="7">
        <v>612657.64</v>
      </c>
    </row>
    <row r="8" spans="1:3" x14ac:dyDescent="0.25">
      <c r="A8" s="5" t="s">
        <v>5</v>
      </c>
      <c r="B8" s="6" t="s">
        <v>6</v>
      </c>
      <c r="C8" s="6">
        <f>630277.03-46718.96</f>
        <v>583558.07000000007</v>
      </c>
    </row>
    <row r="9" spans="1:3" x14ac:dyDescent="0.25">
      <c r="A9" s="8"/>
      <c r="B9" s="8" t="s">
        <v>7</v>
      </c>
      <c r="C9" s="9">
        <f>C8/C7*100</f>
        <v>95.250272240137264</v>
      </c>
    </row>
    <row r="10" spans="1:3" x14ac:dyDescent="0.25">
      <c r="A10" s="5" t="s">
        <v>8</v>
      </c>
      <c r="B10" s="10" t="s">
        <v>9</v>
      </c>
      <c r="C10" s="8"/>
    </row>
    <row r="11" spans="1:3" ht="51.75" x14ac:dyDescent="0.25">
      <c r="A11" s="11" t="s">
        <v>10</v>
      </c>
      <c r="B11" s="12" t="s">
        <v>223</v>
      </c>
      <c r="C11" s="13">
        <f>13248.35+10721.8+7238.98</f>
        <v>31209.13</v>
      </c>
    </row>
    <row r="12" spans="1:3" ht="202.5" customHeight="1" x14ac:dyDescent="0.25">
      <c r="A12" s="14" t="s">
        <v>11</v>
      </c>
      <c r="B12" s="12" t="s">
        <v>291</v>
      </c>
      <c r="C12" s="8">
        <f>2244.02+195.13+919.91+383.3+696.9+1340.66+7155.99+5280+63.41+180+842.02</f>
        <v>19301.34</v>
      </c>
    </row>
    <row r="13" spans="1:3" ht="26.25" x14ac:dyDescent="0.25">
      <c r="A13" s="5" t="s">
        <v>12</v>
      </c>
      <c r="B13" s="12" t="s">
        <v>224</v>
      </c>
      <c r="C13" s="9">
        <f>4203.71+1427.24/44178.7*4244.4</f>
        <v>4340.8298667231038</v>
      </c>
    </row>
    <row r="14" spans="1:3" x14ac:dyDescent="0.25">
      <c r="A14" s="5" t="s">
        <v>13</v>
      </c>
      <c r="B14" s="8" t="s">
        <v>225</v>
      </c>
      <c r="C14" s="9">
        <f>364427.89/44178.7*4244.4</f>
        <v>35011.843633153534</v>
      </c>
    </row>
    <row r="15" spans="1:3" ht="56.25" customHeight="1" x14ac:dyDescent="0.25">
      <c r="A15" s="11" t="s">
        <v>14</v>
      </c>
      <c r="B15" s="12" t="s">
        <v>238</v>
      </c>
      <c r="C15" s="8">
        <f>7192.54+9738.05+8162.4</f>
        <v>25092.989999999998</v>
      </c>
    </row>
    <row r="16" spans="1:3" x14ac:dyDescent="0.25">
      <c r="A16" s="5" t="s">
        <v>15</v>
      </c>
      <c r="B16" s="8" t="s">
        <v>24</v>
      </c>
      <c r="C16" s="8">
        <v>93040.27</v>
      </c>
    </row>
    <row r="17" spans="1:3" x14ac:dyDescent="0.25">
      <c r="A17" s="5" t="s">
        <v>23</v>
      </c>
      <c r="B17" s="12" t="s">
        <v>226</v>
      </c>
      <c r="C17" s="9">
        <f>291338/44178.7*4244.4</f>
        <v>27989.845948386894</v>
      </c>
    </row>
    <row r="18" spans="1:3" ht="26.25" x14ac:dyDescent="0.25">
      <c r="A18" s="5" t="s">
        <v>16</v>
      </c>
      <c r="B18" s="12" t="s">
        <v>227</v>
      </c>
      <c r="C18" s="9">
        <f>1420628.77/44178.7*4244.4</f>
        <v>136484.70306704359</v>
      </c>
    </row>
    <row r="19" spans="1:3" x14ac:dyDescent="0.25">
      <c r="A19" s="5" t="s">
        <v>17</v>
      </c>
      <c r="B19" s="8" t="s">
        <v>239</v>
      </c>
      <c r="C19" s="9">
        <f>24828.89/44178.7*4244.4</f>
        <v>2385.3970514297616</v>
      </c>
    </row>
    <row r="20" spans="1:3" x14ac:dyDescent="0.25">
      <c r="A20" s="5" t="s">
        <v>18</v>
      </c>
      <c r="B20" s="8" t="s">
        <v>228</v>
      </c>
      <c r="C20" s="9">
        <f>100497/44178.7*4244.4</f>
        <v>9655.0932191304855</v>
      </c>
    </row>
    <row r="21" spans="1:3" x14ac:dyDescent="0.25">
      <c r="A21" s="8"/>
      <c r="B21" s="6" t="s">
        <v>19</v>
      </c>
      <c r="C21" s="7">
        <f>SUM(C11:C20)</f>
        <v>384511.44278586737</v>
      </c>
    </row>
    <row r="22" spans="1:3" x14ac:dyDescent="0.25">
      <c r="A22" s="8"/>
      <c r="B22" s="34" t="s">
        <v>290</v>
      </c>
      <c r="C22" s="7">
        <f>C8-C21</f>
        <v>199046.62721413269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E21" sqref="E21"/>
    </sheetView>
  </sheetViews>
  <sheetFormatPr defaultRowHeight="15" x14ac:dyDescent="0.25"/>
  <cols>
    <col min="1" max="1" width="10.5703125" customWidth="1"/>
    <col min="2" max="2" width="59.85546875" customWidth="1"/>
    <col min="3" max="3" width="16.140625" customWidth="1"/>
  </cols>
  <sheetData>
    <row r="1" spans="1:3" x14ac:dyDescent="0.25">
      <c r="A1" s="1" t="s">
        <v>179</v>
      </c>
    </row>
    <row r="2" spans="1:3" x14ac:dyDescent="0.25">
      <c r="A2" s="1" t="s">
        <v>184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181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29</v>
      </c>
      <c r="C7" s="7">
        <v>19667.75</v>
      </c>
    </row>
    <row r="8" spans="1:3" x14ac:dyDescent="0.25">
      <c r="A8" s="5" t="s">
        <v>5</v>
      </c>
      <c r="B8" s="6" t="s">
        <v>6</v>
      </c>
      <c r="C8" s="6">
        <f>10926.76-625.01</f>
        <v>10301.75</v>
      </c>
    </row>
    <row r="9" spans="1:3" x14ac:dyDescent="0.25">
      <c r="A9" s="8"/>
      <c r="B9" s="8" t="s">
        <v>7</v>
      </c>
      <c r="C9" s="9">
        <f>C8/C7*100</f>
        <v>52.378894382936537</v>
      </c>
    </row>
    <row r="10" spans="1:3" x14ac:dyDescent="0.25">
      <c r="A10" s="5" t="s">
        <v>8</v>
      </c>
      <c r="B10" s="10" t="s">
        <v>9</v>
      </c>
      <c r="C10" s="8"/>
    </row>
    <row r="11" spans="1:3" ht="57" customHeight="1" x14ac:dyDescent="0.25">
      <c r="A11" s="11" t="s">
        <v>10</v>
      </c>
      <c r="B11" s="12" t="s">
        <v>191</v>
      </c>
      <c r="C11" s="13">
        <f>2859.36+373.36+976.28</f>
        <v>4209</v>
      </c>
    </row>
    <row r="12" spans="1:3" ht="102" customHeight="1" x14ac:dyDescent="0.25">
      <c r="A12" s="14" t="s">
        <v>11</v>
      </c>
      <c r="B12" s="12" t="s">
        <v>322</v>
      </c>
      <c r="C12" s="8">
        <f>97.57*2+58.93+240</f>
        <v>494.07</v>
      </c>
    </row>
    <row r="13" spans="1:3" ht="30" customHeight="1" x14ac:dyDescent="0.25">
      <c r="A13" s="5" t="s">
        <v>12</v>
      </c>
      <c r="B13" s="12" t="s">
        <v>190</v>
      </c>
      <c r="C13" s="9">
        <f>1427.24/44178.7*147.8</f>
        <v>4.774836561510412</v>
      </c>
    </row>
    <row r="14" spans="1:3" x14ac:dyDescent="0.25">
      <c r="A14" s="5" t="s">
        <v>13</v>
      </c>
      <c r="B14" s="8" t="s">
        <v>185</v>
      </c>
      <c r="C14" s="9">
        <f>364427.89/44178.7*147.8</f>
        <v>1219.1948188154022</v>
      </c>
    </row>
    <row r="15" spans="1:3" ht="57" customHeight="1" x14ac:dyDescent="0.25">
      <c r="A15" s="11" t="s">
        <v>14</v>
      </c>
      <c r="B15" s="12" t="s">
        <v>277</v>
      </c>
      <c r="C15" s="8">
        <f>250.46+339.1+284.23</f>
        <v>873.79000000000008</v>
      </c>
    </row>
    <row r="16" spans="1:3" ht="63.75" customHeight="1" x14ac:dyDescent="0.25">
      <c r="A16" s="5" t="s">
        <v>15</v>
      </c>
      <c r="B16" s="12" t="s">
        <v>339</v>
      </c>
      <c r="C16" s="8">
        <v>9517</v>
      </c>
    </row>
    <row r="17" spans="1:3" x14ac:dyDescent="0.25">
      <c r="A17" s="5" t="s">
        <v>23</v>
      </c>
      <c r="B17" s="12" t="s">
        <v>186</v>
      </c>
      <c r="C17" s="9">
        <f>291338/44178.7*147.8</f>
        <v>974.6723285203052</v>
      </c>
    </row>
    <row r="18" spans="1:3" ht="26.25" x14ac:dyDescent="0.25">
      <c r="A18" s="5" t="s">
        <v>16</v>
      </c>
      <c r="B18" s="12" t="s">
        <v>187</v>
      </c>
      <c r="C18" s="9">
        <f>1420628.77/44178.7*147.8</f>
        <v>4752.7186677290192</v>
      </c>
    </row>
    <row r="19" spans="1:3" x14ac:dyDescent="0.25">
      <c r="A19" s="5" t="s">
        <v>17</v>
      </c>
      <c r="B19" s="8" t="s">
        <v>276</v>
      </c>
      <c r="C19" s="9">
        <f>24828.89/44178.7*147.8</f>
        <v>83.065140938959289</v>
      </c>
    </row>
    <row r="20" spans="1:3" x14ac:dyDescent="0.25">
      <c r="A20" s="5" t="s">
        <v>18</v>
      </c>
      <c r="B20" s="8" t="s">
        <v>188</v>
      </c>
      <c r="C20" s="9">
        <f>100497/44178.7*147.8</f>
        <v>336.21307553187398</v>
      </c>
    </row>
    <row r="21" spans="1:3" x14ac:dyDescent="0.25">
      <c r="A21" s="8"/>
      <c r="B21" s="6" t="s">
        <v>19</v>
      </c>
      <c r="C21" s="7">
        <f>SUM(C11:C20)</f>
        <v>22464.498868097071</v>
      </c>
    </row>
    <row r="22" spans="1:3" x14ac:dyDescent="0.25">
      <c r="A22" s="8"/>
      <c r="B22" s="8" t="s">
        <v>323</v>
      </c>
      <c r="C22" s="7">
        <f>C8-C21</f>
        <v>-12162.748868097071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C28" sqref="C28"/>
    </sheetView>
  </sheetViews>
  <sheetFormatPr defaultRowHeight="15" x14ac:dyDescent="0.25"/>
  <cols>
    <col min="1" max="1" width="6.7109375" customWidth="1"/>
    <col min="2" max="2" width="59.8554687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189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198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172</v>
      </c>
      <c r="C7" s="7">
        <v>48789.03</v>
      </c>
    </row>
    <row r="8" spans="1:3" x14ac:dyDescent="0.25">
      <c r="A8" s="5" t="s">
        <v>5</v>
      </c>
      <c r="B8" s="6" t="s">
        <v>6</v>
      </c>
      <c r="C8" s="6">
        <f>41025.25-2803.75</f>
        <v>38221.5</v>
      </c>
    </row>
    <row r="9" spans="1:3" x14ac:dyDescent="0.25">
      <c r="A9" s="8"/>
      <c r="B9" s="8" t="s">
        <v>7</v>
      </c>
      <c r="C9" s="7">
        <f>C8/C7*100</f>
        <v>78.340356428484029</v>
      </c>
    </row>
    <row r="10" spans="1:3" x14ac:dyDescent="0.25">
      <c r="A10" s="5" t="s">
        <v>8</v>
      </c>
      <c r="B10" s="10" t="s">
        <v>9</v>
      </c>
      <c r="C10" s="8"/>
    </row>
    <row r="11" spans="1:3" ht="58.5" customHeight="1" x14ac:dyDescent="0.25">
      <c r="A11" s="11" t="s">
        <v>10</v>
      </c>
      <c r="B11" s="12" t="s">
        <v>192</v>
      </c>
      <c r="C11" s="13">
        <f>2814.08+912.93+1125.56</f>
        <v>4852.57</v>
      </c>
    </row>
    <row r="12" spans="1:3" ht="122.25" customHeight="1" x14ac:dyDescent="0.25">
      <c r="A12" s="14" t="s">
        <v>11</v>
      </c>
      <c r="B12" s="12" t="s">
        <v>324</v>
      </c>
      <c r="C12" s="8">
        <f>97.57*2+83.63+38.33+95.96+540+18</f>
        <v>971.06</v>
      </c>
    </row>
    <row r="13" spans="1:3" ht="30.75" customHeight="1" x14ac:dyDescent="0.25">
      <c r="A13" s="5" t="s">
        <v>12</v>
      </c>
      <c r="B13" s="12" t="s">
        <v>193</v>
      </c>
      <c r="C13" s="9">
        <f>731.11+1427.24/44178.7*361.4</f>
        <v>742.78541226880827</v>
      </c>
    </row>
    <row r="14" spans="1:3" x14ac:dyDescent="0.25">
      <c r="A14" s="5" t="s">
        <v>13</v>
      </c>
      <c r="B14" s="8" t="s">
        <v>194</v>
      </c>
      <c r="C14" s="16">
        <f>364427.89/44178.7*361.4</f>
        <v>2981.1705515553876</v>
      </c>
    </row>
    <row r="15" spans="1:3" ht="64.5" x14ac:dyDescent="0.25">
      <c r="A15" s="11" t="s">
        <v>14</v>
      </c>
      <c r="B15" s="12" t="s">
        <v>279</v>
      </c>
      <c r="C15" s="8">
        <f>612.43+829.17+695.01</f>
        <v>2136.6099999999997</v>
      </c>
    </row>
    <row r="16" spans="1:3" x14ac:dyDescent="0.25">
      <c r="A16" s="5" t="s">
        <v>15</v>
      </c>
      <c r="B16" s="8" t="s">
        <v>24</v>
      </c>
      <c r="C16" s="8">
        <v>11293</v>
      </c>
    </row>
    <row r="17" spans="1:3" x14ac:dyDescent="0.25">
      <c r="A17" s="5" t="s">
        <v>23</v>
      </c>
      <c r="B17" s="12" t="s">
        <v>195</v>
      </c>
      <c r="C17" s="9">
        <f>291338/44178.7*361.4</f>
        <v>2383.2650847580398</v>
      </c>
    </row>
    <row r="18" spans="1:3" ht="26.25" x14ac:dyDescent="0.25">
      <c r="A18" s="5" t="s">
        <v>16</v>
      </c>
      <c r="B18" s="12" t="s">
        <v>196</v>
      </c>
      <c r="C18" s="33">
        <f>1420628.77/44178.7*361.4</f>
        <v>11621.329678736585</v>
      </c>
    </row>
    <row r="19" spans="1:3" x14ac:dyDescent="0.25">
      <c r="A19" s="5" t="s">
        <v>17</v>
      </c>
      <c r="B19" s="8" t="s">
        <v>278</v>
      </c>
      <c r="C19" s="9">
        <f>24828.89/44178.7*361.4</f>
        <v>203.11056789810476</v>
      </c>
    </row>
    <row r="20" spans="1:3" x14ac:dyDescent="0.25">
      <c r="A20" s="5" t="s">
        <v>18</v>
      </c>
      <c r="B20" s="8" t="s">
        <v>197</v>
      </c>
      <c r="C20" s="9">
        <f>100497/44178.7*361.4</f>
        <v>822.10693841149691</v>
      </c>
    </row>
    <row r="21" spans="1:3" x14ac:dyDescent="0.25">
      <c r="A21" s="8"/>
      <c r="B21" s="6" t="s">
        <v>19</v>
      </c>
      <c r="C21" s="7">
        <f>SUM(C11:C20)</f>
        <v>38007.008233628425</v>
      </c>
    </row>
    <row r="22" spans="1:3" x14ac:dyDescent="0.25">
      <c r="A22" s="8"/>
      <c r="B22" s="8" t="s">
        <v>325</v>
      </c>
      <c r="C22" s="7">
        <f>C8-C21</f>
        <v>214.49176637157507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0" workbookViewId="0">
      <selection activeCell="E19" sqref="E19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199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200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99</v>
      </c>
      <c r="C7" s="7">
        <v>51462.27</v>
      </c>
    </row>
    <row r="8" spans="1:3" x14ac:dyDescent="0.25">
      <c r="A8" s="5" t="s">
        <v>5</v>
      </c>
      <c r="B8" s="6" t="s">
        <v>6</v>
      </c>
      <c r="C8" s="6">
        <f>43151.94-3239.23</f>
        <v>39912.71</v>
      </c>
    </row>
    <row r="9" spans="1:3" x14ac:dyDescent="0.25">
      <c r="A9" s="8"/>
      <c r="B9" s="8" t="s">
        <v>7</v>
      </c>
      <c r="C9" s="9">
        <f>C8/C7*100</f>
        <v>77.557227848674387</v>
      </c>
    </row>
    <row r="10" spans="1:3" x14ac:dyDescent="0.25">
      <c r="A10" s="5" t="s">
        <v>8</v>
      </c>
      <c r="B10" s="10" t="s">
        <v>9</v>
      </c>
      <c r="C10" s="8"/>
    </row>
    <row r="11" spans="1:3" ht="60.75" customHeight="1" x14ac:dyDescent="0.25">
      <c r="A11" s="11" t="s">
        <v>10</v>
      </c>
      <c r="B11" s="12" t="s">
        <v>201</v>
      </c>
      <c r="C11" s="13">
        <f>2068.27+1119.32+962.65</f>
        <v>4150.24</v>
      </c>
    </row>
    <row r="12" spans="1:3" ht="91.5" customHeight="1" x14ac:dyDescent="0.25">
      <c r="A12" s="14" t="s">
        <v>11</v>
      </c>
      <c r="B12" s="12" t="s">
        <v>326</v>
      </c>
      <c r="C12" s="9">
        <f>76.66+97.57+139.38+94.71+720</f>
        <v>1128.32</v>
      </c>
    </row>
    <row r="13" spans="1:3" x14ac:dyDescent="0.25">
      <c r="A13" s="5" t="s">
        <v>12</v>
      </c>
      <c r="B13" s="12" t="s">
        <v>183</v>
      </c>
      <c r="C13" s="9">
        <v>0</v>
      </c>
    </row>
    <row r="14" spans="1:3" x14ac:dyDescent="0.25">
      <c r="A14" s="5" t="s">
        <v>13</v>
      </c>
      <c r="B14" s="8" t="s">
        <v>202</v>
      </c>
      <c r="C14" s="16">
        <f>364427.89/44178.7*443.1</f>
        <v>3655.1097714283137</v>
      </c>
    </row>
    <row r="15" spans="1:3" ht="59.25" customHeight="1" x14ac:dyDescent="0.25">
      <c r="A15" s="11" t="s">
        <v>14</v>
      </c>
      <c r="B15" s="12" t="s">
        <v>281</v>
      </c>
      <c r="C15" s="8">
        <f>750.87+1016.62+852.13</f>
        <v>2619.62</v>
      </c>
    </row>
    <row r="16" spans="1:3" x14ac:dyDescent="0.25">
      <c r="A16" s="5" t="s">
        <v>15</v>
      </c>
      <c r="B16" s="8" t="s">
        <v>24</v>
      </c>
      <c r="C16" s="8">
        <v>31845</v>
      </c>
    </row>
    <row r="17" spans="1:3" x14ac:dyDescent="0.25">
      <c r="A17" s="5" t="s">
        <v>23</v>
      </c>
      <c r="B17" s="12" t="s">
        <v>203</v>
      </c>
      <c r="C17" s="9">
        <f>291338/44178.7*443.1</f>
        <v>2922.0386249482222</v>
      </c>
    </row>
    <row r="18" spans="1:3" ht="26.25" x14ac:dyDescent="0.25">
      <c r="A18" s="5" t="s">
        <v>16</v>
      </c>
      <c r="B18" s="12" t="s">
        <v>204</v>
      </c>
      <c r="C18" s="9">
        <f>1420628.77/44178.7*443.1</f>
        <v>14248.509077609799</v>
      </c>
    </row>
    <row r="19" spans="1:3" x14ac:dyDescent="0.25">
      <c r="A19" s="5" t="s">
        <v>17</v>
      </c>
      <c r="B19" s="12" t="s">
        <v>280</v>
      </c>
      <c r="C19" s="9">
        <f xml:space="preserve"> 24828.89/44178.7*443.1</f>
        <v>249.02681968912626</v>
      </c>
    </row>
    <row r="20" spans="1:3" x14ac:dyDescent="0.25">
      <c r="A20" s="5" t="s">
        <v>18</v>
      </c>
      <c r="B20" s="8" t="s">
        <v>205</v>
      </c>
      <c r="C20" s="9">
        <f>100497/44178.7*443.1</f>
        <v>1007.9567913949483</v>
      </c>
    </row>
    <row r="21" spans="1:3" x14ac:dyDescent="0.25">
      <c r="A21" s="8"/>
      <c r="B21" s="6" t="s">
        <v>19</v>
      </c>
      <c r="C21" s="7">
        <f>SUM(C11:C20)</f>
        <v>61825.82108507042</v>
      </c>
    </row>
    <row r="22" spans="1:3" x14ac:dyDescent="0.25">
      <c r="A22" s="8"/>
      <c r="B22" s="8" t="s">
        <v>327</v>
      </c>
      <c r="C22" s="7">
        <f>C8-C21</f>
        <v>-21913.111085070421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7" workbookViewId="0">
      <selection activeCell="E12" sqref="E12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184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206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182</v>
      </c>
      <c r="C7" s="7">
        <v>51412.93</v>
      </c>
    </row>
    <row r="8" spans="1:3" x14ac:dyDescent="0.25">
      <c r="A8" s="5" t="s">
        <v>5</v>
      </c>
      <c r="B8" s="6" t="s">
        <v>6</v>
      </c>
      <c r="C8" s="6">
        <f>49385.74-4036.99</f>
        <v>45348.75</v>
      </c>
    </row>
    <row r="9" spans="1:3" x14ac:dyDescent="0.25">
      <c r="A9" s="8"/>
      <c r="B9" s="8" t="s">
        <v>7</v>
      </c>
      <c r="C9" s="9">
        <f>C8/C7*100</f>
        <v>88.204951555960733</v>
      </c>
    </row>
    <row r="10" spans="1:3" x14ac:dyDescent="0.25">
      <c r="A10" s="5" t="s">
        <v>8</v>
      </c>
      <c r="B10" s="10" t="s">
        <v>9</v>
      </c>
      <c r="C10" s="8"/>
    </row>
    <row r="11" spans="1:3" ht="61.5" customHeight="1" x14ac:dyDescent="0.25">
      <c r="A11" s="11" t="s">
        <v>10</v>
      </c>
      <c r="B11" s="12" t="s">
        <v>207</v>
      </c>
      <c r="C11" s="13">
        <f>4342.64+1072.12+1635.26</f>
        <v>7050.02</v>
      </c>
    </row>
    <row r="12" spans="1:3" ht="163.5" customHeight="1" x14ac:dyDescent="0.25">
      <c r="A12" s="14" t="s">
        <v>11</v>
      </c>
      <c r="B12" s="12" t="s">
        <v>328</v>
      </c>
      <c r="C12" s="8">
        <f>195.13+97.57+104.54+209.07+183.11+720+9.5+12+38+5.05</f>
        <v>1573.97</v>
      </c>
    </row>
    <row r="13" spans="1:3" ht="26.25" x14ac:dyDescent="0.25">
      <c r="A13" s="5" t="s">
        <v>12</v>
      </c>
      <c r="B13" s="12" t="s">
        <v>209</v>
      </c>
      <c r="C13" s="9">
        <v>14.25</v>
      </c>
    </row>
    <row r="14" spans="1:3" x14ac:dyDescent="0.25">
      <c r="A14" s="5" t="s">
        <v>13</v>
      </c>
      <c r="B14" s="8" t="s">
        <v>210</v>
      </c>
      <c r="C14" s="16">
        <f>364427.89/44178*441.2</f>
        <v>3639.4944331567749</v>
      </c>
    </row>
    <row r="15" spans="1:3" ht="64.5" x14ac:dyDescent="0.25">
      <c r="A15" s="11" t="s">
        <v>14</v>
      </c>
      <c r="B15" s="12" t="s">
        <v>283</v>
      </c>
      <c r="C15" s="8">
        <f>747.65+1012.26+848.47</f>
        <v>2608.38</v>
      </c>
    </row>
    <row r="16" spans="1:3" x14ac:dyDescent="0.25">
      <c r="A16" s="5" t="s">
        <v>15</v>
      </c>
      <c r="B16" s="12" t="s">
        <v>214</v>
      </c>
      <c r="C16" s="8">
        <v>9682.4500000000007</v>
      </c>
    </row>
    <row r="17" spans="1:3" x14ac:dyDescent="0.25">
      <c r="A17" s="5" t="s">
        <v>23</v>
      </c>
      <c r="B17" s="12" t="s">
        <v>211</v>
      </c>
      <c r="C17" s="9">
        <f>291338/44178.7*441.2</f>
        <v>2909.5090077344967</v>
      </c>
    </row>
    <row r="18" spans="1:3" ht="26.25" x14ac:dyDescent="0.25">
      <c r="A18" s="5" t="s">
        <v>16</v>
      </c>
      <c r="B18" s="12" t="s">
        <v>212</v>
      </c>
      <c r="C18" s="9">
        <f>1420628.77/44178.7*441.2</f>
        <v>14187.411882287164</v>
      </c>
    </row>
    <row r="19" spans="1:3" x14ac:dyDescent="0.25">
      <c r="A19" s="5" t="s">
        <v>17</v>
      </c>
      <c r="B19" s="8" t="s">
        <v>282</v>
      </c>
      <c r="C19" s="9">
        <f>24828.89/44178.7*441.2</f>
        <v>247.95899988003271</v>
      </c>
    </row>
    <row r="20" spans="1:3" x14ac:dyDescent="0.25">
      <c r="A20" s="5" t="s">
        <v>18</v>
      </c>
      <c r="B20" s="8" t="s">
        <v>213</v>
      </c>
      <c r="C20" s="9">
        <f>100497/44178.7*441.2</f>
        <v>1003.6347017906819</v>
      </c>
    </row>
    <row r="21" spans="1:3" x14ac:dyDescent="0.25">
      <c r="A21" s="8"/>
      <c r="B21" s="6" t="s">
        <v>19</v>
      </c>
      <c r="C21" s="7">
        <f>SUM(C11:C20)</f>
        <v>42917.079024849147</v>
      </c>
    </row>
    <row r="22" spans="1:3" x14ac:dyDescent="0.25">
      <c r="A22" s="8"/>
      <c r="B22" s="8" t="s">
        <v>329</v>
      </c>
      <c r="C22" s="7">
        <f>C8-C21</f>
        <v>2431.6709751508533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13" sqref="F13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179</v>
      </c>
    </row>
    <row r="2" spans="1:3" x14ac:dyDescent="0.25">
      <c r="A2" s="1" t="s">
        <v>180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208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182</v>
      </c>
      <c r="C7" s="7">
        <v>53056.08</v>
      </c>
    </row>
    <row r="8" spans="1:3" x14ac:dyDescent="0.25">
      <c r="A8" s="5" t="s">
        <v>5</v>
      </c>
      <c r="B8" s="6" t="s">
        <v>6</v>
      </c>
      <c r="C8" s="6">
        <f>48035.89-4024.24</f>
        <v>44011.65</v>
      </c>
    </row>
    <row r="9" spans="1:3" x14ac:dyDescent="0.25">
      <c r="A9" s="8"/>
      <c r="B9" s="8" t="s">
        <v>7</v>
      </c>
      <c r="C9" s="9">
        <f>C8/C7*100</f>
        <v>82.953075312009489</v>
      </c>
    </row>
    <row r="10" spans="1:3" x14ac:dyDescent="0.25">
      <c r="A10" s="5" t="s">
        <v>8</v>
      </c>
      <c r="B10" s="10" t="s">
        <v>9</v>
      </c>
      <c r="C10" s="8"/>
    </row>
    <row r="11" spans="1:3" ht="57.75" customHeight="1" x14ac:dyDescent="0.25">
      <c r="A11" s="11" t="s">
        <v>10</v>
      </c>
      <c r="B11" s="12" t="s">
        <v>215</v>
      </c>
      <c r="C11" s="13">
        <f>3752.91+1150.14+1480.72</f>
        <v>6383.77</v>
      </c>
    </row>
    <row r="12" spans="1:3" ht="103.5" customHeight="1" x14ac:dyDescent="0.25">
      <c r="A12" s="14" t="s">
        <v>11</v>
      </c>
      <c r="B12" s="12" t="s">
        <v>330</v>
      </c>
      <c r="C12" s="9">
        <f>439.05+97.57+62.72+278.76+265.19+720</f>
        <v>1863.29</v>
      </c>
    </row>
    <row r="13" spans="1:3" x14ac:dyDescent="0.25">
      <c r="A13" s="5" t="s">
        <v>12</v>
      </c>
      <c r="B13" s="12" t="s">
        <v>216</v>
      </c>
      <c r="C13" s="9">
        <f>1427.24/44178.7*455.3</f>
        <v>14.70895187047152</v>
      </c>
    </row>
    <row r="14" spans="1:3" x14ac:dyDescent="0.25">
      <c r="A14" s="5" t="s">
        <v>13</v>
      </c>
      <c r="B14" s="8" t="s">
        <v>217</v>
      </c>
      <c r="C14" s="16">
        <f>364427.89/44178.7*455.3+11183</f>
        <v>14938.746962155972</v>
      </c>
    </row>
    <row r="15" spans="1:3" ht="64.5" x14ac:dyDescent="0.25">
      <c r="A15" s="11" t="s">
        <v>14</v>
      </c>
      <c r="B15" s="12" t="s">
        <v>285</v>
      </c>
      <c r="C15" s="8">
        <f>771.55+1044.61+875.59</f>
        <v>2691.75</v>
      </c>
    </row>
    <row r="16" spans="1:3" x14ac:dyDescent="0.25">
      <c r="A16" s="5" t="s">
        <v>15</v>
      </c>
      <c r="B16" s="8" t="s">
        <v>24</v>
      </c>
      <c r="C16" s="8">
        <v>25169</v>
      </c>
    </row>
    <row r="17" spans="1:3" x14ac:dyDescent="0.25">
      <c r="A17" s="5" t="s">
        <v>23</v>
      </c>
      <c r="B17" s="12" t="s">
        <v>218</v>
      </c>
      <c r="C17" s="9">
        <f>291338/44178.7*455.3</f>
        <v>3002.4919565310888</v>
      </c>
    </row>
    <row r="18" spans="1:3" ht="26.25" x14ac:dyDescent="0.25">
      <c r="A18" s="5" t="s">
        <v>16</v>
      </c>
      <c r="B18" s="12" t="s">
        <v>219</v>
      </c>
      <c r="C18" s="9">
        <f>1420628.77/44178.7*455.3</f>
        <v>14640.817384418284</v>
      </c>
    </row>
    <row r="19" spans="1:3" x14ac:dyDescent="0.25">
      <c r="A19" s="5" t="s">
        <v>17</v>
      </c>
      <c r="B19" s="8" t="s">
        <v>284</v>
      </c>
      <c r="C19" s="9">
        <f>24828.89/44178.7*455.3</f>
        <v>255.88334688435833</v>
      </c>
    </row>
    <row r="20" spans="1:3" x14ac:dyDescent="0.25">
      <c r="A20" s="5" t="s">
        <v>18</v>
      </c>
      <c r="B20" s="8" t="s">
        <v>220</v>
      </c>
      <c r="C20" s="9">
        <f>100497/44178.7*455.3</f>
        <v>1035.7091562223425</v>
      </c>
    </row>
    <row r="21" spans="1:3" x14ac:dyDescent="0.25">
      <c r="A21" s="8"/>
      <c r="B21" s="6" t="s">
        <v>19</v>
      </c>
      <c r="C21" s="7">
        <f>SUM(C11:C20)</f>
        <v>69996.167758082505</v>
      </c>
    </row>
    <row r="22" spans="1:3" x14ac:dyDescent="0.25">
      <c r="A22" s="8"/>
      <c r="B22" s="8" t="s">
        <v>331</v>
      </c>
      <c r="C22" s="7">
        <f>C8-C21</f>
        <v>-25984.517758082504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D5" sqref="D5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199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229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99</v>
      </c>
      <c r="C7" s="7">
        <v>31013.93</v>
      </c>
    </row>
    <row r="8" spans="1:3" x14ac:dyDescent="0.25">
      <c r="A8" s="5" t="s">
        <v>5</v>
      </c>
      <c r="B8" s="6" t="s">
        <v>6</v>
      </c>
      <c r="C8" s="6">
        <f>27727.75-2020.68</f>
        <v>25707.07</v>
      </c>
    </row>
    <row r="9" spans="1:3" x14ac:dyDescent="0.25">
      <c r="A9" s="8"/>
      <c r="B9" s="8" t="s">
        <v>7</v>
      </c>
      <c r="C9" s="9">
        <f>C8/C7*100</f>
        <v>82.888785781099003</v>
      </c>
    </row>
    <row r="10" spans="1:3" x14ac:dyDescent="0.25">
      <c r="A10" s="5" t="s">
        <v>8</v>
      </c>
      <c r="B10" s="10" t="s">
        <v>9</v>
      </c>
      <c r="C10" s="8"/>
    </row>
    <row r="11" spans="1:3" ht="57.75" customHeight="1" x14ac:dyDescent="0.25">
      <c r="A11" s="11" t="s">
        <v>10</v>
      </c>
      <c r="B11" s="12" t="s">
        <v>230</v>
      </c>
      <c r="C11" s="13">
        <f>4289.03+644.91+1490.05</f>
        <v>6423.99</v>
      </c>
    </row>
    <row r="12" spans="1:3" ht="96.75" customHeight="1" x14ac:dyDescent="0.25">
      <c r="A12" s="14" t="s">
        <v>11</v>
      </c>
      <c r="B12" s="12" t="s">
        <v>332</v>
      </c>
      <c r="C12" s="9">
        <f>146.35+97.57+41.81+139.38+128.38+480</f>
        <v>1033.49</v>
      </c>
    </row>
    <row r="13" spans="1:3" x14ac:dyDescent="0.25">
      <c r="A13" s="5" t="s">
        <v>12</v>
      </c>
      <c r="B13" s="12" t="s">
        <v>183</v>
      </c>
      <c r="C13" s="9">
        <v>0</v>
      </c>
    </row>
    <row r="14" spans="1:3" x14ac:dyDescent="0.25">
      <c r="A14" s="5" t="s">
        <v>13</v>
      </c>
      <c r="B14" s="8" t="s">
        <v>231</v>
      </c>
      <c r="C14" s="16">
        <f>364427.89/44178.7*255.3</f>
        <v>2105.9569502271461</v>
      </c>
    </row>
    <row r="15" spans="1:3" ht="64.5" x14ac:dyDescent="0.25">
      <c r="A15" s="11" t="s">
        <v>14</v>
      </c>
      <c r="B15" s="12" t="s">
        <v>287</v>
      </c>
      <c r="C15" s="8">
        <f>432.63+585.74+490.97</f>
        <v>1509.3400000000001</v>
      </c>
    </row>
    <row r="16" spans="1:3" x14ac:dyDescent="0.25">
      <c r="A16" s="5" t="s">
        <v>15</v>
      </c>
      <c r="B16" s="8" t="s">
        <v>24</v>
      </c>
      <c r="C16" s="8">
        <v>0</v>
      </c>
    </row>
    <row r="17" spans="1:3" x14ac:dyDescent="0.25">
      <c r="A17" s="5" t="s">
        <v>23</v>
      </c>
      <c r="B17" s="12" t="s">
        <v>232</v>
      </c>
      <c r="C17" s="9">
        <f>291338/44178.7*255.3</f>
        <v>1683.584881402124</v>
      </c>
    </row>
    <row r="18" spans="1:3" ht="26.25" x14ac:dyDescent="0.25">
      <c r="A18" s="5" t="s">
        <v>16</v>
      </c>
      <c r="B18" s="12" t="s">
        <v>233</v>
      </c>
      <c r="C18" s="9">
        <f>1420628.77/44178.7*255.3</f>
        <v>8209.5336662464033</v>
      </c>
    </row>
    <row r="19" spans="1:3" x14ac:dyDescent="0.25">
      <c r="A19" s="5" t="s">
        <v>17</v>
      </c>
      <c r="B19" s="12" t="s">
        <v>286</v>
      </c>
      <c r="C19" s="9">
        <f>24828.89/44178.7*255.3</f>
        <v>143.48126171661912</v>
      </c>
    </row>
    <row r="20" spans="1:3" x14ac:dyDescent="0.25">
      <c r="A20" s="5" t="s">
        <v>18</v>
      </c>
      <c r="B20" s="8" t="s">
        <v>234</v>
      </c>
      <c r="C20" s="9">
        <f>100497/44178.7*255.3</f>
        <v>580.75235577325725</v>
      </c>
    </row>
    <row r="21" spans="1:3" x14ac:dyDescent="0.25">
      <c r="A21" s="8"/>
      <c r="B21" s="6" t="s">
        <v>19</v>
      </c>
      <c r="C21" s="7">
        <f>SUM(C11:C20)</f>
        <v>21690.129115365551</v>
      </c>
    </row>
    <row r="22" spans="1:3" x14ac:dyDescent="0.25">
      <c r="A22" s="8"/>
      <c r="B22" s="8" t="s">
        <v>333</v>
      </c>
      <c r="C22" s="7">
        <f>C8-C21</f>
        <v>4016.9408846344486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E25" sqref="E25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30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21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37</v>
      </c>
      <c r="C7" s="7">
        <v>479808.93</v>
      </c>
    </row>
    <row r="8" spans="1:3" x14ac:dyDescent="0.25">
      <c r="A8" s="5" t="s">
        <v>5</v>
      </c>
      <c r="B8" s="6" t="s">
        <v>6</v>
      </c>
      <c r="C8" s="6">
        <f>475331.87-34526.58</f>
        <v>440805.29</v>
      </c>
    </row>
    <row r="9" spans="1:3" x14ac:dyDescent="0.25">
      <c r="A9" s="8"/>
      <c r="B9" s="8" t="s">
        <v>7</v>
      </c>
      <c r="C9" s="7">
        <f>C8/C7*100</f>
        <v>91.871005818920466</v>
      </c>
    </row>
    <row r="10" spans="1:3" x14ac:dyDescent="0.25">
      <c r="A10" s="5" t="s">
        <v>8</v>
      </c>
      <c r="B10" s="10" t="s">
        <v>9</v>
      </c>
      <c r="C10" s="8"/>
    </row>
    <row r="11" spans="1:3" ht="51.75" x14ac:dyDescent="0.25">
      <c r="A11" s="11" t="s">
        <v>10</v>
      </c>
      <c r="B11" s="12" t="s">
        <v>39</v>
      </c>
      <c r="C11" s="13">
        <f>1710.85+8165.63+2982.7</f>
        <v>12859.18</v>
      </c>
    </row>
    <row r="12" spans="1:3" ht="165.75" customHeight="1" x14ac:dyDescent="0.25">
      <c r="A12" s="14" t="s">
        <v>11</v>
      </c>
      <c r="B12" s="12" t="s">
        <v>292</v>
      </c>
      <c r="C12" s="8">
        <f>2439.15+195.13+961.72+363.6+1195.8+4954.5+3960+180</f>
        <v>14249.9</v>
      </c>
    </row>
    <row r="13" spans="1:3" ht="26.25" x14ac:dyDescent="0.25">
      <c r="A13" s="5" t="s">
        <v>12</v>
      </c>
      <c r="B13" s="12" t="s">
        <v>31</v>
      </c>
      <c r="C13" s="9">
        <f>2132.1+127</f>
        <v>2259.1</v>
      </c>
    </row>
    <row r="14" spans="1:3" ht="21.75" customHeight="1" x14ac:dyDescent="0.25">
      <c r="A14" s="5" t="s">
        <v>13</v>
      </c>
      <c r="B14" s="8" t="s">
        <v>40</v>
      </c>
      <c r="C14" s="16">
        <f>364427.89/44178.7*3232.5</f>
        <v>26664.731067799647</v>
      </c>
    </row>
    <row r="15" spans="1:3" x14ac:dyDescent="0.25">
      <c r="A15" s="5" t="s">
        <v>14</v>
      </c>
      <c r="B15" s="8" t="s">
        <v>24</v>
      </c>
      <c r="C15" s="8">
        <v>107812</v>
      </c>
    </row>
    <row r="16" spans="1:3" x14ac:dyDescent="0.25">
      <c r="A16" s="5" t="s">
        <v>15</v>
      </c>
      <c r="B16" s="12" t="s">
        <v>32</v>
      </c>
      <c r="C16" s="9">
        <f>291338/44178.7*3232.5</f>
        <v>21316.835601771898</v>
      </c>
    </row>
    <row r="17" spans="1:3" ht="73.5" customHeight="1" x14ac:dyDescent="0.25">
      <c r="A17" s="5" t="s">
        <v>23</v>
      </c>
      <c r="B17" s="12" t="s">
        <v>240</v>
      </c>
      <c r="C17" s="9">
        <f>5477.78+7416.42+6216.42</f>
        <v>19110.620000000003</v>
      </c>
    </row>
    <row r="18" spans="1:3" ht="26.25" x14ac:dyDescent="0.25">
      <c r="A18" s="5" t="s">
        <v>16</v>
      </c>
      <c r="B18" s="12" t="s">
        <v>41</v>
      </c>
      <c r="C18" s="9">
        <f>1420628.77/44178.7*3232.5</f>
        <v>103945.623094953</v>
      </c>
    </row>
    <row r="19" spans="1:3" x14ac:dyDescent="0.25">
      <c r="A19" s="5" t="s">
        <v>17</v>
      </c>
      <c r="B19" s="8" t="s">
        <v>241</v>
      </c>
      <c r="C19" s="9">
        <f>24828.89/44178.7*3232.5</f>
        <v>1816.6987015235852</v>
      </c>
    </row>
    <row r="20" spans="1:3" x14ac:dyDescent="0.25">
      <c r="A20" s="5" t="s">
        <v>18</v>
      </c>
      <c r="B20" s="8" t="s">
        <v>33</v>
      </c>
      <c r="C20" s="9">
        <f>100497/44178.7*3232.5</f>
        <v>7353.2392872583396</v>
      </c>
    </row>
    <row r="21" spans="1:3" x14ac:dyDescent="0.25">
      <c r="A21" s="8"/>
      <c r="B21" s="6" t="s">
        <v>19</v>
      </c>
      <c r="C21" s="7">
        <f>SUM(C11:C20)</f>
        <v>317387.92775330652</v>
      </c>
    </row>
    <row r="22" spans="1:3" x14ac:dyDescent="0.25">
      <c r="A22" s="8"/>
      <c r="B22" s="8" t="s">
        <v>293</v>
      </c>
      <c r="C22" s="7">
        <f>C8-C21</f>
        <v>123417.36224669346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I13" sqref="I13"/>
    </sheetView>
  </sheetViews>
  <sheetFormatPr defaultRowHeight="15" x14ac:dyDescent="0.25"/>
  <cols>
    <col min="1" max="1" width="7" customWidth="1"/>
    <col min="2" max="2" width="62.425781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45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46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47</v>
      </c>
      <c r="C7" s="6">
        <v>450239.33</v>
      </c>
    </row>
    <row r="8" spans="1:3" x14ac:dyDescent="0.25">
      <c r="A8" s="5" t="s">
        <v>5</v>
      </c>
      <c r="B8" s="6" t="s">
        <v>6</v>
      </c>
      <c r="C8" s="6">
        <f>438573.97-31914.71</f>
        <v>406659.25999999995</v>
      </c>
    </row>
    <row r="9" spans="1:3" x14ac:dyDescent="0.25">
      <c r="A9" s="8"/>
      <c r="B9" s="8" t="s">
        <v>7</v>
      </c>
      <c r="C9" s="9">
        <f>C8/C7*100</f>
        <v>90.320687888372603</v>
      </c>
    </row>
    <row r="10" spans="1:3" x14ac:dyDescent="0.25">
      <c r="A10" s="5" t="s">
        <v>8</v>
      </c>
      <c r="B10" s="10" t="s">
        <v>9</v>
      </c>
      <c r="C10" s="8"/>
    </row>
    <row r="11" spans="1:3" ht="58.5" customHeight="1" x14ac:dyDescent="0.25">
      <c r="A11" s="5" t="s">
        <v>10</v>
      </c>
      <c r="B11" s="12" t="s">
        <v>49</v>
      </c>
      <c r="C11" s="13">
        <f>12668.14+7657.88+6138.46</f>
        <v>26464.48</v>
      </c>
    </row>
    <row r="12" spans="1:3" ht="149.25" customHeight="1" x14ac:dyDescent="0.25">
      <c r="A12" s="14" t="s">
        <v>11</v>
      </c>
      <c r="B12" s="12" t="s">
        <v>294</v>
      </c>
      <c r="C12" s="8">
        <f>1756.19+195.13+418.14+134.15+418.14+882.37+4646.42+3960+126</f>
        <v>12536.54</v>
      </c>
    </row>
    <row r="13" spans="1:3" ht="34.5" customHeight="1" x14ac:dyDescent="0.25">
      <c r="A13" s="5" t="s">
        <v>12</v>
      </c>
      <c r="B13" s="12" t="s">
        <v>50</v>
      </c>
      <c r="C13" s="8">
        <f>2755.75+97.94</f>
        <v>2853.69</v>
      </c>
    </row>
    <row r="14" spans="1:3" x14ac:dyDescent="0.25">
      <c r="A14" s="5" t="s">
        <v>13</v>
      </c>
      <c r="B14" s="8" t="s">
        <v>48</v>
      </c>
      <c r="C14" s="9">
        <f>364427.89/44178.7*3031.5</f>
        <v>25006.692105811177</v>
      </c>
    </row>
    <row r="15" spans="1:3" ht="59.25" customHeight="1" x14ac:dyDescent="0.25">
      <c r="A15" s="11" t="s">
        <v>14</v>
      </c>
      <c r="B15" s="12" t="s">
        <v>242</v>
      </c>
      <c r="C15" s="8">
        <f>5137.16+6955.26+5829.87</f>
        <v>17922.29</v>
      </c>
    </row>
    <row r="16" spans="1:3" x14ac:dyDescent="0.25">
      <c r="A16" s="5" t="s">
        <v>15</v>
      </c>
      <c r="B16" s="8" t="s">
        <v>24</v>
      </c>
      <c r="C16" s="8">
        <v>116971</v>
      </c>
    </row>
    <row r="17" spans="1:3" x14ac:dyDescent="0.25">
      <c r="A17" s="5" t="s">
        <v>23</v>
      </c>
      <c r="B17" s="12" t="s">
        <v>53</v>
      </c>
      <c r="C17" s="9">
        <f>291338/44178.7*3031.5</f>
        <v>19991.333991267285</v>
      </c>
    </row>
    <row r="18" spans="1:3" ht="26.25" x14ac:dyDescent="0.25">
      <c r="A18" s="5" t="s">
        <v>16</v>
      </c>
      <c r="B18" s="12" t="s">
        <v>51</v>
      </c>
      <c r="C18" s="9">
        <f>1420628.77/44178.7*3031.5</f>
        <v>97482.182958190257</v>
      </c>
    </row>
    <row r="19" spans="1:3" x14ac:dyDescent="0.25">
      <c r="A19" s="5" t="s">
        <v>17</v>
      </c>
      <c r="B19" s="12" t="s">
        <v>243</v>
      </c>
      <c r="C19" s="9">
        <f>24828.89/44178.7*3031.5</f>
        <v>1703.7346059300071</v>
      </c>
    </row>
    <row r="20" spans="1:3" x14ac:dyDescent="0.25">
      <c r="A20" s="5" t="s">
        <v>18</v>
      </c>
      <c r="B20" s="8" t="s">
        <v>52</v>
      </c>
      <c r="C20" s="9">
        <f>100497/44178.7*3031.5</f>
        <v>6896.0077028070091</v>
      </c>
    </row>
    <row r="21" spans="1:3" x14ac:dyDescent="0.25">
      <c r="A21" s="8"/>
      <c r="B21" s="6" t="s">
        <v>19</v>
      </c>
      <c r="C21" s="7">
        <f>SUM(C11:C20)</f>
        <v>327827.95136400574</v>
      </c>
    </row>
    <row r="22" spans="1:3" x14ac:dyDescent="0.25">
      <c r="A22" s="8"/>
      <c r="B22" s="8" t="s">
        <v>334</v>
      </c>
      <c r="C22" s="7">
        <f>C8-C21</f>
        <v>78831.30863599421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6" workbookViewId="0">
      <selection activeCell="E12" sqref="E12"/>
    </sheetView>
  </sheetViews>
  <sheetFormatPr defaultRowHeight="15" x14ac:dyDescent="0.25"/>
  <cols>
    <col min="1" max="1" width="7.7109375" customWidth="1"/>
    <col min="2" max="2" width="60" customWidth="1"/>
    <col min="3" max="3" width="16.140625" customWidth="1"/>
  </cols>
  <sheetData>
    <row r="1" spans="1:3" x14ac:dyDescent="0.25">
      <c r="A1" s="1" t="s">
        <v>42</v>
      </c>
    </row>
    <row r="2" spans="1:3" x14ac:dyDescent="0.25">
      <c r="A2" s="1" t="s">
        <v>54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246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55</v>
      </c>
      <c r="C7" s="6">
        <v>88993.32</v>
      </c>
    </row>
    <row r="8" spans="1:3" x14ac:dyDescent="0.25">
      <c r="A8" s="5" t="s">
        <v>5</v>
      </c>
      <c r="B8" s="6" t="s">
        <v>6</v>
      </c>
      <c r="C8" s="6">
        <v>83234.899999999994</v>
      </c>
    </row>
    <row r="9" spans="1:3" x14ac:dyDescent="0.25">
      <c r="A9" s="8"/>
      <c r="B9" s="8" t="s">
        <v>7</v>
      </c>
      <c r="C9" s="9">
        <f>C8/C7*100</f>
        <v>93.529379508484439</v>
      </c>
    </row>
    <row r="10" spans="1:3" x14ac:dyDescent="0.25">
      <c r="A10" s="5" t="s">
        <v>8</v>
      </c>
      <c r="B10" s="10" t="s">
        <v>9</v>
      </c>
      <c r="C10" s="8"/>
    </row>
    <row r="11" spans="1:3" ht="61.5" customHeight="1" x14ac:dyDescent="0.25">
      <c r="A11" s="5" t="s">
        <v>43</v>
      </c>
      <c r="B11" s="12" t="s">
        <v>335</v>
      </c>
      <c r="C11" s="13">
        <f>1513.64+457.12</f>
        <v>1970.7600000000002</v>
      </c>
    </row>
    <row r="12" spans="1:3" ht="114" customHeight="1" x14ac:dyDescent="0.25">
      <c r="A12" s="18" t="s">
        <v>11</v>
      </c>
      <c r="B12" s="12" t="s">
        <v>295</v>
      </c>
      <c r="C12" s="8">
        <f>682.96+195.13+125.4+303.06+1010.24+960+93.2</f>
        <v>3369.99</v>
      </c>
    </row>
    <row r="13" spans="1:3" ht="26.25" x14ac:dyDescent="0.25">
      <c r="A13" s="5" t="s">
        <v>12</v>
      </c>
      <c r="B13" s="12" t="s">
        <v>56</v>
      </c>
      <c r="C13" s="8">
        <f>19.36+1342.4</f>
        <v>1361.76</v>
      </c>
    </row>
    <row r="14" spans="1:3" x14ac:dyDescent="0.25">
      <c r="A14" s="5" t="s">
        <v>13</v>
      </c>
      <c r="B14" s="8" t="s">
        <v>57</v>
      </c>
      <c r="C14" s="9">
        <f>364427.89/44178.7*599.2</f>
        <v>4942.7708757387618</v>
      </c>
    </row>
    <row r="15" spans="1:3" ht="63" customHeight="1" x14ac:dyDescent="0.25">
      <c r="A15" s="5" t="s">
        <v>14</v>
      </c>
      <c r="B15" s="12" t="s">
        <v>244</v>
      </c>
      <c r="C15" s="8">
        <f>1015.4+1374.76+1152.32</f>
        <v>3542.4799999999996</v>
      </c>
    </row>
    <row r="16" spans="1:3" x14ac:dyDescent="0.25">
      <c r="A16" s="5" t="s">
        <v>15</v>
      </c>
      <c r="B16" s="8" t="s">
        <v>24</v>
      </c>
      <c r="C16" s="8">
        <v>53706</v>
      </c>
    </row>
    <row r="17" spans="1:3" x14ac:dyDescent="0.25">
      <c r="A17" s="18" t="s">
        <v>23</v>
      </c>
      <c r="B17" s="12" t="s">
        <v>58</v>
      </c>
      <c r="C17" s="9">
        <f>291338/44178.7*599.2</f>
        <v>3951.4455970863796</v>
      </c>
    </row>
    <row r="18" spans="1:3" ht="33.75" customHeight="1" x14ac:dyDescent="0.25">
      <c r="A18" s="5" t="s">
        <v>44</v>
      </c>
      <c r="B18" s="12" t="s">
        <v>59</v>
      </c>
      <c r="C18" s="9">
        <f>1420628.77/44178.7*599.2</f>
        <v>19268.12601964295</v>
      </c>
    </row>
    <row r="19" spans="1:3" x14ac:dyDescent="0.25">
      <c r="A19" s="5" t="s">
        <v>17</v>
      </c>
      <c r="B19" s="8" t="s">
        <v>60</v>
      </c>
      <c r="C19" s="8"/>
    </row>
    <row r="20" spans="1:3" x14ac:dyDescent="0.25">
      <c r="A20" s="5" t="s">
        <v>18</v>
      </c>
      <c r="B20" s="8" t="s">
        <v>245</v>
      </c>
      <c r="C20" s="9">
        <f>24828.89/44178.7*599.2</f>
        <v>336.7566471625467</v>
      </c>
    </row>
    <row r="21" spans="1:3" x14ac:dyDescent="0.25">
      <c r="A21" s="5" t="s">
        <v>128</v>
      </c>
      <c r="B21" s="8" t="s">
        <v>61</v>
      </c>
      <c r="C21" s="9">
        <f>100497/44178.7*599.2</f>
        <v>1363.0505741454594</v>
      </c>
    </row>
    <row r="22" spans="1:3" x14ac:dyDescent="0.25">
      <c r="A22" s="5"/>
      <c r="B22" s="8" t="s">
        <v>19</v>
      </c>
      <c r="C22" s="9">
        <f>SUM(C11:C21)</f>
        <v>93813.139713776094</v>
      </c>
    </row>
    <row r="23" spans="1:3" x14ac:dyDescent="0.25">
      <c r="A23" s="5"/>
      <c r="B23" s="8" t="s">
        <v>296</v>
      </c>
      <c r="C23" s="7">
        <f>C8-C22</f>
        <v>-10578.2397137761</v>
      </c>
    </row>
    <row r="24" spans="1:3" x14ac:dyDescent="0.25">
      <c r="A24" s="8"/>
      <c r="B24" s="8"/>
      <c r="C24" s="8"/>
    </row>
    <row r="43" spans="1:3" x14ac:dyDescent="0.25">
      <c r="A43" s="1"/>
    </row>
    <row r="44" spans="1:3" x14ac:dyDescent="0.25">
      <c r="A44" s="1"/>
      <c r="B44" s="1"/>
      <c r="C44" s="1"/>
    </row>
    <row r="45" spans="1:3" x14ac:dyDescent="0.25">
      <c r="A45" s="15"/>
      <c r="B45" s="15"/>
      <c r="C45" s="15"/>
    </row>
  </sheetData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E12" sqref="E12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62</v>
      </c>
      <c r="B2" s="1"/>
      <c r="C2" s="1"/>
    </row>
    <row r="3" spans="1:3" x14ac:dyDescent="0.25">
      <c r="A3" s="1"/>
      <c r="B3" s="1"/>
      <c r="C3" s="1"/>
    </row>
    <row r="4" spans="1:3" x14ac:dyDescent="0.25">
      <c r="A4" s="15" t="s">
        <v>63</v>
      </c>
      <c r="B4" s="15"/>
      <c r="C4" s="15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22</v>
      </c>
      <c r="C7" s="7">
        <v>365742.24</v>
      </c>
    </row>
    <row r="8" spans="1:3" x14ac:dyDescent="0.25">
      <c r="A8" s="5" t="s">
        <v>5</v>
      </c>
      <c r="B8" s="6" t="s">
        <v>6</v>
      </c>
      <c r="C8" s="6">
        <f>355843.6-27039.63</f>
        <v>328803.96999999997</v>
      </c>
    </row>
    <row r="9" spans="1:3" x14ac:dyDescent="0.25">
      <c r="A9" s="8"/>
      <c r="B9" s="8" t="s">
        <v>7</v>
      </c>
      <c r="C9" s="9">
        <f>C8/C7*100</f>
        <v>89.900463780174803</v>
      </c>
    </row>
    <row r="10" spans="1:3" x14ac:dyDescent="0.25">
      <c r="A10" s="5" t="s">
        <v>8</v>
      </c>
      <c r="B10" s="10" t="s">
        <v>9</v>
      </c>
      <c r="C10" s="8"/>
    </row>
    <row r="11" spans="1:3" ht="51.75" x14ac:dyDescent="0.25">
      <c r="A11" s="5" t="s">
        <v>10</v>
      </c>
      <c r="B11" s="12" t="s">
        <v>64</v>
      </c>
      <c r="C11" s="13">
        <f>8351.23+6108.7+4366.9</f>
        <v>18826.830000000002</v>
      </c>
    </row>
    <row r="12" spans="1:3" ht="196.5" customHeight="1" x14ac:dyDescent="0.25">
      <c r="A12" s="18" t="s">
        <v>11</v>
      </c>
      <c r="B12" s="12" t="s">
        <v>298</v>
      </c>
      <c r="C12" s="8">
        <f>1365.92+195.13+459.95+114.99+418.14+771.35+4567.67+3360+63+39+52</f>
        <v>11407.15</v>
      </c>
    </row>
    <row r="13" spans="1:3" ht="64.5" x14ac:dyDescent="0.25">
      <c r="A13" s="5" t="s">
        <v>12</v>
      </c>
      <c r="B13" s="12" t="s">
        <v>247</v>
      </c>
      <c r="C13" s="8">
        <f>4591+6215.8+5210.06</f>
        <v>16016.86</v>
      </c>
    </row>
    <row r="14" spans="1:3" x14ac:dyDescent="0.25">
      <c r="A14" s="5" t="s">
        <v>13</v>
      </c>
      <c r="B14" s="8" t="s">
        <v>65</v>
      </c>
      <c r="C14" s="16">
        <f>364427/44178.7*2709.2</f>
        <v>22348.00092352197</v>
      </c>
    </row>
    <row r="15" spans="1:3" ht="26.25" x14ac:dyDescent="0.25">
      <c r="A15" s="11" t="s">
        <v>14</v>
      </c>
      <c r="B15" s="12" t="s">
        <v>66</v>
      </c>
      <c r="C15" s="9">
        <f>34050.83/9007.4*34.1+1427.24/44178.7*2709.2</f>
        <v>216.43241387841005</v>
      </c>
    </row>
    <row r="16" spans="1:3" x14ac:dyDescent="0.25">
      <c r="A16" s="5" t="s">
        <v>15</v>
      </c>
      <c r="B16" s="12" t="s">
        <v>24</v>
      </c>
      <c r="C16" s="8">
        <v>93710</v>
      </c>
    </row>
    <row r="17" spans="1:3" x14ac:dyDescent="0.25">
      <c r="A17" s="5" t="s">
        <v>16</v>
      </c>
      <c r="B17" s="12" t="s">
        <v>67</v>
      </c>
      <c r="C17" s="9">
        <f>291338/44178.7*2709.2</f>
        <v>17865.915239696958</v>
      </c>
    </row>
    <row r="18" spans="1:3" ht="26.25" x14ac:dyDescent="0.25">
      <c r="A18" s="5" t="s">
        <v>17</v>
      </c>
      <c r="B18" s="12" t="s">
        <v>68</v>
      </c>
      <c r="C18" s="8">
        <v>85633.4</v>
      </c>
    </row>
    <row r="19" spans="1:3" x14ac:dyDescent="0.25">
      <c r="A19" s="5" t="s">
        <v>18</v>
      </c>
      <c r="B19" s="8" t="s">
        <v>248</v>
      </c>
      <c r="C19" s="9">
        <f>24828.89/44178.7*2709.2</f>
        <v>1522.5986456821954</v>
      </c>
    </row>
    <row r="20" spans="1:3" x14ac:dyDescent="0.25">
      <c r="A20" s="5"/>
      <c r="B20" s="8" t="s">
        <v>69</v>
      </c>
      <c r="C20" s="9">
        <f>100497/44178.7*2709.2</f>
        <v>6162.8448188833081</v>
      </c>
    </row>
    <row r="21" spans="1:3" x14ac:dyDescent="0.25">
      <c r="A21" s="8"/>
      <c r="B21" s="6" t="s">
        <v>19</v>
      </c>
      <c r="C21" s="7">
        <f>SUM(C11:C20)</f>
        <v>273710.0320416629</v>
      </c>
    </row>
    <row r="22" spans="1:3" x14ac:dyDescent="0.25">
      <c r="A22" s="8"/>
      <c r="B22" s="8" t="s">
        <v>297</v>
      </c>
      <c r="C22" s="7">
        <f>C8-C21</f>
        <v>55093.937958337076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6" workbookViewId="0">
      <selection activeCell="B29" sqref="B29"/>
    </sheetView>
  </sheetViews>
  <sheetFormatPr defaultRowHeight="15" x14ac:dyDescent="0.25"/>
  <cols>
    <col min="1" max="1" width="7.7109375" customWidth="1"/>
    <col min="2" max="2" width="59.710937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71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70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55</v>
      </c>
      <c r="C7" s="7">
        <v>422028.18</v>
      </c>
    </row>
    <row r="8" spans="1:3" x14ac:dyDescent="0.25">
      <c r="A8" s="5" t="s">
        <v>5</v>
      </c>
      <c r="B8" s="6" t="s">
        <v>72</v>
      </c>
      <c r="C8" s="6">
        <f>431061.33-30233.82</f>
        <v>400827.51</v>
      </c>
    </row>
    <row r="9" spans="1:3" x14ac:dyDescent="0.25">
      <c r="A9" s="8"/>
      <c r="B9" s="8" t="s">
        <v>7</v>
      </c>
      <c r="C9" s="9">
        <f>C8/C7*100</f>
        <v>94.976480006619468</v>
      </c>
    </row>
    <row r="10" spans="1:3" x14ac:dyDescent="0.25">
      <c r="A10" s="5" t="s">
        <v>8</v>
      </c>
      <c r="B10" s="10" t="s">
        <v>9</v>
      </c>
      <c r="C10" s="8"/>
    </row>
    <row r="11" spans="1:3" ht="59.25" customHeight="1" x14ac:dyDescent="0.25">
      <c r="A11" s="5" t="s">
        <v>10</v>
      </c>
      <c r="B11" s="12" t="s">
        <v>73</v>
      </c>
      <c r="C11" s="13">
        <f>11973.55+8363.68+6141.84</f>
        <v>26479.07</v>
      </c>
    </row>
    <row r="12" spans="1:3" ht="195.75" customHeight="1" x14ac:dyDescent="0.25">
      <c r="A12" s="18" t="s">
        <v>11</v>
      </c>
      <c r="B12" s="12" t="s">
        <v>299</v>
      </c>
      <c r="C12" s="8">
        <f>878.09+195.13+292.7+153.32+418.14+585.09+5074.66+4080+135+120+20</f>
        <v>11952.130000000001</v>
      </c>
    </row>
    <row r="13" spans="1:3" ht="40.5" customHeight="1" x14ac:dyDescent="0.25">
      <c r="A13" s="5" t="s">
        <v>12</v>
      </c>
      <c r="B13" s="12" t="s">
        <v>74</v>
      </c>
      <c r="C13" s="9">
        <f>34050.83/9007.4*721.3+1248.36+1427.24/44178.7*3310.9</f>
        <v>4082.0650187143469</v>
      </c>
    </row>
    <row r="14" spans="1:3" x14ac:dyDescent="0.25">
      <c r="A14" s="5" t="s">
        <v>13</v>
      </c>
      <c r="B14" s="8" t="s">
        <v>75</v>
      </c>
      <c r="C14" s="16">
        <f>364427.89/44178.7*3310.9</f>
        <v>27311.448752475746</v>
      </c>
    </row>
    <row r="15" spans="1:3" ht="57.75" customHeight="1" x14ac:dyDescent="0.25">
      <c r="A15" s="11" t="s">
        <v>14</v>
      </c>
      <c r="B15" s="12" t="s">
        <v>249</v>
      </c>
      <c r="C15" s="8">
        <f>5610.63+7596.3+6367.19</f>
        <v>19574.12</v>
      </c>
    </row>
    <row r="16" spans="1:3" x14ac:dyDescent="0.25">
      <c r="A16" s="5" t="s">
        <v>15</v>
      </c>
      <c r="B16" s="8" t="s">
        <v>24</v>
      </c>
      <c r="C16" s="8">
        <v>39172</v>
      </c>
    </row>
    <row r="17" spans="1:3" x14ac:dyDescent="0.25">
      <c r="A17" s="5" t="s">
        <v>23</v>
      </c>
      <c r="B17" s="12" t="s">
        <v>76</v>
      </c>
      <c r="C17" s="9">
        <f>291338/44178.7*3310.9</f>
        <v>21833.84717522245</v>
      </c>
    </row>
    <row r="18" spans="1:3" ht="26.25" x14ac:dyDescent="0.25">
      <c r="A18" s="5" t="s">
        <v>16</v>
      </c>
      <c r="B18" s="12" t="s">
        <v>77</v>
      </c>
      <c r="C18" s="9">
        <f xml:space="preserve"> 1420628.77/44178.7*3310.9</f>
        <v>106466.68631247638</v>
      </c>
    </row>
    <row r="19" spans="1:3" x14ac:dyDescent="0.25">
      <c r="A19" s="5" t="s">
        <v>17</v>
      </c>
      <c r="B19" s="8" t="s">
        <v>250</v>
      </c>
      <c r="C19" s="9">
        <f>24828.89/44178.7*3310.9</f>
        <v>1860.760318909339</v>
      </c>
    </row>
    <row r="20" spans="1:3" x14ac:dyDescent="0.25">
      <c r="A20" s="5" t="s">
        <v>18</v>
      </c>
      <c r="B20" s="8" t="s">
        <v>78</v>
      </c>
      <c r="C20" s="9">
        <f>100497/44178.7*3310.9</f>
        <v>7531.5823530343814</v>
      </c>
    </row>
    <row r="21" spans="1:3" x14ac:dyDescent="0.25">
      <c r="A21" s="8"/>
      <c r="B21" s="6" t="s">
        <v>19</v>
      </c>
      <c r="C21" s="7">
        <f>SUM(C11:C20)</f>
        <v>266263.70993083261</v>
      </c>
    </row>
    <row r="22" spans="1:3" x14ac:dyDescent="0.25">
      <c r="A22" s="8"/>
      <c r="B22" s="8" t="s">
        <v>300</v>
      </c>
      <c r="C22" s="7">
        <f>C8-C21</f>
        <v>134563.8000691674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C27" sqref="C27"/>
    </sheetView>
  </sheetViews>
  <sheetFormatPr defaultRowHeight="15" x14ac:dyDescent="0.25"/>
  <cols>
    <col min="1" max="1" width="7.7109375" customWidth="1"/>
    <col min="2" max="2" width="59.140625" customWidth="1"/>
    <col min="3" max="3" width="16.140625" customWidth="1"/>
  </cols>
  <sheetData>
    <row r="1" spans="1:3" x14ac:dyDescent="0.25">
      <c r="A1" s="1" t="s">
        <v>20</v>
      </c>
    </row>
    <row r="2" spans="1:3" x14ac:dyDescent="0.25">
      <c r="A2" s="1" t="s">
        <v>80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79</v>
      </c>
      <c r="B4" s="2"/>
      <c r="C4" s="2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5">
        <v>1</v>
      </c>
      <c r="B6" s="5">
        <v>2</v>
      </c>
      <c r="C6" s="5">
        <v>3</v>
      </c>
    </row>
    <row r="7" spans="1:3" x14ac:dyDescent="0.25">
      <c r="A7" s="5" t="s">
        <v>4</v>
      </c>
      <c r="B7" s="6" t="s">
        <v>81</v>
      </c>
      <c r="C7" s="7">
        <v>487518.6</v>
      </c>
    </row>
    <row r="8" spans="1:3" x14ac:dyDescent="0.25">
      <c r="A8" s="5" t="s">
        <v>5</v>
      </c>
      <c r="B8" s="6" t="s">
        <v>6</v>
      </c>
      <c r="C8" s="6">
        <f>500518.43-36425.43</f>
        <v>464093</v>
      </c>
    </row>
    <row r="9" spans="1:3" x14ac:dyDescent="0.25">
      <c r="A9" s="8"/>
      <c r="B9" s="8" t="s">
        <v>7</v>
      </c>
      <c r="C9" s="9">
        <f>C8/C7*100</f>
        <v>95.194932049772049</v>
      </c>
    </row>
    <row r="10" spans="1:3" x14ac:dyDescent="0.25">
      <c r="A10" s="5" t="s">
        <v>8</v>
      </c>
      <c r="B10" s="10" t="s">
        <v>9</v>
      </c>
      <c r="C10" s="8"/>
    </row>
    <row r="11" spans="1:3" ht="51.75" x14ac:dyDescent="0.25">
      <c r="A11" s="11" t="s">
        <v>10</v>
      </c>
      <c r="B11" s="12" t="s">
        <v>82</v>
      </c>
      <c r="C11" s="13">
        <f>8351.23+8302.29+5029.36</f>
        <v>21682.880000000001</v>
      </c>
    </row>
    <row r="12" spans="1:3" ht="208.5" customHeight="1" x14ac:dyDescent="0.25">
      <c r="A12" s="14" t="s">
        <v>11</v>
      </c>
      <c r="B12" s="12" t="s">
        <v>301</v>
      </c>
      <c r="C12" s="8">
        <f>1951.32+195.13+627.21+191.65+418.14+1021.8+5037.42+4200+234+250.5</f>
        <v>14127.17</v>
      </c>
    </row>
    <row r="13" spans="1:3" ht="26.25" x14ac:dyDescent="0.25">
      <c r="A13" s="5" t="s">
        <v>12</v>
      </c>
      <c r="B13" s="12" t="s">
        <v>83</v>
      </c>
      <c r="C13" s="9">
        <f>2747.16+1427.24/44178.7*3286.6</f>
        <v>2853.337116664818</v>
      </c>
    </row>
    <row r="14" spans="1:3" x14ac:dyDescent="0.25">
      <c r="A14" s="5" t="s">
        <v>13</v>
      </c>
      <c r="B14" s="8" t="s">
        <v>145</v>
      </c>
      <c r="C14" s="9">
        <f>364427.89/44178.7*3286.6</f>
        <v>27110.999266026392</v>
      </c>
    </row>
    <row r="15" spans="1:3" ht="64.5" x14ac:dyDescent="0.25">
      <c r="A15" s="11" t="s">
        <v>14</v>
      </c>
      <c r="B15" s="12" t="s">
        <v>251</v>
      </c>
      <c r="C15" s="8">
        <f>5569.46+7540.54+6320.46</f>
        <v>19430.46</v>
      </c>
    </row>
    <row r="16" spans="1:3" x14ac:dyDescent="0.25">
      <c r="A16" s="5" t="s">
        <v>15</v>
      </c>
      <c r="B16" s="8" t="s">
        <v>24</v>
      </c>
      <c r="C16" s="8">
        <v>65181.22</v>
      </c>
    </row>
    <row r="17" spans="1:3" x14ac:dyDescent="0.25">
      <c r="A17" s="5" t="s">
        <v>16</v>
      </c>
      <c r="B17" s="12" t="s">
        <v>137</v>
      </c>
      <c r="C17" s="9">
        <f>291338/44178.7*3286.6</f>
        <v>21673.59996559428</v>
      </c>
    </row>
    <row r="18" spans="1:3" ht="26.25" x14ac:dyDescent="0.25">
      <c r="A18" s="5" t="s">
        <v>17</v>
      </c>
      <c r="B18" s="12" t="s">
        <v>138</v>
      </c>
      <c r="C18" s="16">
        <f>1420628.77/44178.7*3286.6</f>
        <v>105685.28534071849</v>
      </c>
    </row>
    <row r="19" spans="1:3" x14ac:dyDescent="0.25">
      <c r="A19" s="5" t="s">
        <v>18</v>
      </c>
      <c r="B19" s="8" t="s">
        <v>252</v>
      </c>
      <c r="C19" s="9">
        <f>24828.89/44178.7*3286.6</f>
        <v>1847.1034655614585</v>
      </c>
    </row>
    <row r="20" spans="1:3" x14ac:dyDescent="0.25">
      <c r="A20" s="5"/>
      <c r="B20" s="8" t="s">
        <v>146</v>
      </c>
      <c r="C20" s="9">
        <f>100497/44178.7*3286.6</f>
        <v>7476.3051017798171</v>
      </c>
    </row>
    <row r="21" spans="1:3" x14ac:dyDescent="0.25">
      <c r="A21" s="8"/>
      <c r="B21" s="6" t="s">
        <v>19</v>
      </c>
      <c r="C21" s="7">
        <f>SUM(C11:C20)</f>
        <v>287068.36025634524</v>
      </c>
    </row>
    <row r="22" spans="1:3" x14ac:dyDescent="0.25">
      <c r="A22" s="8"/>
      <c r="B22" s="8" t="s">
        <v>336</v>
      </c>
      <c r="C22" s="7">
        <f>C8-C21</f>
        <v>177024.63974365476</v>
      </c>
    </row>
    <row r="41" spans="1:3" x14ac:dyDescent="0.25">
      <c r="A41" s="1"/>
    </row>
    <row r="42" spans="1:3" x14ac:dyDescent="0.25">
      <c r="A42" s="1"/>
      <c r="B42" s="1"/>
      <c r="C42" s="1"/>
    </row>
    <row r="43" spans="1:3" x14ac:dyDescent="0.25">
      <c r="A43" s="15"/>
      <c r="B43" s="15"/>
      <c r="C43" s="15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3" workbookViewId="0">
      <selection activeCell="F17" sqref="F17"/>
    </sheetView>
  </sheetViews>
  <sheetFormatPr defaultRowHeight="15" x14ac:dyDescent="0.25"/>
  <cols>
    <col min="1" max="1" width="7.7109375" customWidth="1"/>
    <col min="2" max="2" width="59.7109375" customWidth="1"/>
    <col min="3" max="3" width="16.140625" customWidth="1"/>
  </cols>
  <sheetData>
    <row r="1" spans="1:3" x14ac:dyDescent="0.25">
      <c r="A1" s="19" t="s">
        <v>20</v>
      </c>
    </row>
    <row r="2" spans="1:3" x14ac:dyDescent="0.25">
      <c r="A2" s="19" t="s">
        <v>121</v>
      </c>
      <c r="B2" s="19"/>
      <c r="C2" s="19"/>
    </row>
    <row r="3" spans="1:3" x14ac:dyDescent="0.25">
      <c r="A3" s="19"/>
      <c r="B3" s="19"/>
      <c r="C3" s="19"/>
    </row>
    <row r="4" spans="1:3" x14ac:dyDescent="0.25">
      <c r="A4" s="20" t="s">
        <v>122</v>
      </c>
      <c r="B4" s="20"/>
      <c r="C4" s="20"/>
    </row>
    <row r="5" spans="1:3" x14ac:dyDescent="0.25">
      <c r="A5" s="3" t="s">
        <v>1</v>
      </c>
      <c r="B5" s="4" t="s">
        <v>2</v>
      </c>
      <c r="C5" s="4" t="s">
        <v>3</v>
      </c>
    </row>
    <row r="6" spans="1:3" x14ac:dyDescent="0.25">
      <c r="A6" s="21">
        <v>1</v>
      </c>
      <c r="B6" s="21">
        <v>2</v>
      </c>
      <c r="C6" s="21">
        <v>3</v>
      </c>
    </row>
    <row r="7" spans="1:3" x14ac:dyDescent="0.25">
      <c r="A7" s="21" t="s">
        <v>4</v>
      </c>
      <c r="B7" s="22" t="s">
        <v>81</v>
      </c>
      <c r="C7" s="23">
        <v>572992.34</v>
      </c>
    </row>
    <row r="8" spans="1:3" x14ac:dyDescent="0.25">
      <c r="A8" s="21" t="s">
        <v>5</v>
      </c>
      <c r="B8" s="22" t="s">
        <v>6</v>
      </c>
      <c r="C8" s="22">
        <f>559020.44-40564.87</f>
        <v>518455.56999999995</v>
      </c>
    </row>
    <row r="9" spans="1:3" x14ac:dyDescent="0.25">
      <c r="A9" s="24"/>
      <c r="B9" s="24" t="s">
        <v>7</v>
      </c>
      <c r="C9" s="25">
        <f>C8/C7*100</f>
        <v>90.482111855107874</v>
      </c>
    </row>
    <row r="10" spans="1:3" x14ac:dyDescent="0.25">
      <c r="A10" s="21" t="s">
        <v>8</v>
      </c>
      <c r="B10" s="26" t="s">
        <v>9</v>
      </c>
      <c r="C10" s="24"/>
    </row>
    <row r="11" spans="1:3" ht="64.5" customHeight="1" x14ac:dyDescent="0.25">
      <c r="A11" s="27" t="s">
        <v>10</v>
      </c>
      <c r="B11" s="28" t="s">
        <v>123</v>
      </c>
      <c r="C11" s="29">
        <f>12268.44+9745.71+6648.27</f>
        <v>28662.420000000002</v>
      </c>
    </row>
    <row r="12" spans="1:3" ht="177" customHeight="1" x14ac:dyDescent="0.25">
      <c r="A12" s="30" t="s">
        <v>11</v>
      </c>
      <c r="B12" s="28" t="s">
        <v>302</v>
      </c>
      <c r="C12" s="24">
        <f>1658.62+195.13+334.52+153.32+557.52+875.53+6504.53+5400+147</f>
        <v>15826.17</v>
      </c>
    </row>
    <row r="13" spans="1:3" ht="30.75" customHeight="1" x14ac:dyDescent="0.25">
      <c r="A13" s="21" t="s">
        <v>12</v>
      </c>
      <c r="B13" s="28" t="s">
        <v>124</v>
      </c>
      <c r="C13" s="25">
        <f>3173.2+1427.24/44178.7*3858</f>
        <v>3297.8368028031605</v>
      </c>
    </row>
    <row r="14" spans="1:3" x14ac:dyDescent="0.25">
      <c r="A14" s="21" t="s">
        <v>13</v>
      </c>
      <c r="B14" s="24" t="s">
        <v>125</v>
      </c>
      <c r="C14" s="25">
        <f>364427.89/44178.7*3858</f>
        <v>31824.449330107047</v>
      </c>
    </row>
    <row r="15" spans="1:3" ht="58.5" customHeight="1" x14ac:dyDescent="0.25">
      <c r="A15" s="27" t="s">
        <v>14</v>
      </c>
      <c r="B15" s="28" t="s">
        <v>253</v>
      </c>
      <c r="C15" s="24">
        <f>6537.75+8851.52+7419.31</f>
        <v>22808.58</v>
      </c>
    </row>
    <row r="16" spans="1:3" x14ac:dyDescent="0.25">
      <c r="A16" s="21" t="s">
        <v>15</v>
      </c>
      <c r="B16" s="28" t="s">
        <v>85</v>
      </c>
      <c r="C16" s="24">
        <v>346459</v>
      </c>
    </row>
    <row r="17" spans="1:3" x14ac:dyDescent="0.25">
      <c r="A17" s="21" t="s">
        <v>23</v>
      </c>
      <c r="B17" s="28" t="s">
        <v>126</v>
      </c>
      <c r="C17" s="25">
        <f>291338/44178.7*3858</f>
        <v>25441.717479237734</v>
      </c>
    </row>
    <row r="18" spans="1:3" ht="26.25" x14ac:dyDescent="0.25">
      <c r="A18" s="21" t="s">
        <v>16</v>
      </c>
      <c r="B18" s="28" t="s">
        <v>127</v>
      </c>
      <c r="C18" s="25">
        <f>1420628.77/44178.8*3858</f>
        <v>124059.1821113294</v>
      </c>
    </row>
    <row r="19" spans="1:3" x14ac:dyDescent="0.25">
      <c r="A19" s="21" t="s">
        <v>17</v>
      </c>
      <c r="B19" s="24" t="s">
        <v>254</v>
      </c>
      <c r="C19" s="25">
        <f>24828.89/44178.8*3858</f>
        <v>2168.2313150198734</v>
      </c>
    </row>
    <row r="20" spans="1:3" x14ac:dyDescent="0.25">
      <c r="A20" s="21" t="s">
        <v>18</v>
      </c>
      <c r="B20" s="24" t="s">
        <v>129</v>
      </c>
      <c r="C20" s="25">
        <f>100497/44178.7*3858</f>
        <v>8776.1166806628535</v>
      </c>
    </row>
    <row r="21" spans="1:3" x14ac:dyDescent="0.25">
      <c r="A21" s="24"/>
      <c r="B21" s="22" t="s">
        <v>19</v>
      </c>
      <c r="C21" s="23">
        <f>SUM(C11:C20)</f>
        <v>609323.70371916005</v>
      </c>
    </row>
    <row r="22" spans="1:3" x14ac:dyDescent="0.25">
      <c r="A22" s="24"/>
      <c r="B22" s="24" t="s">
        <v>303</v>
      </c>
      <c r="C22" s="23">
        <f>C8-C21</f>
        <v>-90868.133719160105</v>
      </c>
    </row>
    <row r="41" spans="1:3" x14ac:dyDescent="0.25">
      <c r="A41" s="19"/>
    </row>
    <row r="42" spans="1:3" x14ac:dyDescent="0.25">
      <c r="A42" s="19"/>
      <c r="B42" s="19"/>
      <c r="C42" s="19"/>
    </row>
    <row r="43" spans="1:3" x14ac:dyDescent="0.25">
      <c r="A43" s="31"/>
      <c r="B43" s="31"/>
      <c r="C43" s="3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Лунач 34</vt:lpstr>
      <vt:lpstr>Свердловск 27</vt:lpstr>
      <vt:lpstr>Св 29</vt:lpstr>
      <vt:lpstr>Св 31</vt:lpstr>
      <vt:lpstr>Св 33</vt:lpstr>
      <vt:lpstr>Св 37</vt:lpstr>
      <vt:lpstr>Св 39</vt:lpstr>
      <vt:lpstr>1 Мая 30</vt:lpstr>
      <vt:lpstr>1 Мая 34</vt:lpstr>
      <vt:lpstr>1 Мая 37</vt:lpstr>
      <vt:lpstr>Ленина 10</vt:lpstr>
      <vt:lpstr>Ленина 15</vt:lpstr>
      <vt:lpstr>Ленина25</vt:lpstr>
      <vt:lpstr>Ленина 27</vt:lpstr>
      <vt:lpstr>Пролет.20</vt:lpstr>
      <vt:lpstr>Ком.31</vt:lpstr>
      <vt:lpstr>Ком. 29</vt:lpstr>
      <vt:lpstr>М-Горького 5</vt:lpstr>
      <vt:lpstr>Свердловская 42</vt:lpstr>
      <vt:lpstr>Свердловск.44</vt:lpstr>
      <vt:lpstr>Свердловск.52</vt:lpstr>
      <vt:lpstr>Строит.2</vt:lpstr>
      <vt:lpstr>К-Маркса 69</vt:lpstr>
      <vt:lpstr>К-Маркса 71</vt:lpstr>
      <vt:lpstr>Свердловск 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2013-09-19T11:02:10Z</dcterms:modified>
</cp:coreProperties>
</file>